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/>
  <mc:AlternateContent xmlns:mc="http://schemas.openxmlformats.org/markup-compatibility/2006">
    <mc:Choice Requires="x15">
      <x15ac:absPath xmlns:x15ac="http://schemas.microsoft.com/office/spreadsheetml/2010/11/ac" url="C:\Users\DeanShillingford\Downloads\"/>
    </mc:Choice>
  </mc:AlternateContent>
  <xr:revisionPtr revIDLastSave="0" documentId="13_ncr:1_{711CE5D4-D432-49E8-BE3A-F8C542221FDF}" xr6:coauthVersionLast="47" xr6:coauthVersionMax="47" xr10:uidLastSave="{00000000-0000-0000-0000-000000000000}"/>
  <bookViews>
    <workbookView xWindow="71880" yWindow="3165" windowWidth="29040" windowHeight="15720" activeTab="2" xr2:uid="{00000000-000D-0000-FFFF-FFFF00000000}"/>
  </bookViews>
  <sheets>
    <sheet name="Content Appendix " sheetId="6" r:id="rId1"/>
    <sheet name="FY2025" sheetId="8" state="hidden" r:id="rId2"/>
    <sheet name="1.0 TCA- Budget HL" sheetId="3" r:id="rId3"/>
    <sheet name="1.1 Budget Projections" sheetId="5" r:id="rId4"/>
    <sheet name="2.0 Budget Report - Detail" sheetId="1" r:id="rId5"/>
    <sheet name="1.2 County Report" sheetId="2" r:id="rId6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9" i="3" l="1"/>
  <c r="Y13" i="1"/>
  <c r="AC54" i="1"/>
  <c r="AC53" i="1"/>
  <c r="AC52" i="1"/>
  <c r="AC51" i="1"/>
  <c r="AC50" i="1"/>
  <c r="AC49" i="1"/>
  <c r="AC48" i="1"/>
  <c r="AC47" i="1"/>
  <c r="AC46" i="1"/>
  <c r="AC45" i="1"/>
  <c r="AC44" i="1"/>
  <c r="AC43" i="1"/>
  <c r="AC42" i="1"/>
  <c r="AC41" i="1"/>
  <c r="AC38" i="1"/>
  <c r="AC36" i="1"/>
  <c r="AC32" i="1"/>
  <c r="AC29" i="1"/>
  <c r="AC28" i="1"/>
  <c r="AC27" i="1"/>
  <c r="AC24" i="1"/>
  <c r="AC23" i="1"/>
  <c r="AC22" i="1"/>
  <c r="AC17" i="1"/>
  <c r="Y41" i="1"/>
  <c r="Y50" i="1"/>
  <c r="W33" i="1"/>
  <c r="Z33" i="1" s="1"/>
  <c r="AC33" i="1" s="1"/>
  <c r="W46" i="1"/>
  <c r="W54" i="1" s="1"/>
  <c r="W48" i="1"/>
  <c r="W44" i="1"/>
  <c r="S31" i="1"/>
  <c r="S16" i="1"/>
  <c r="S41" i="1"/>
  <c r="S46" i="1"/>
  <c r="S54" i="1"/>
  <c r="S44" i="1"/>
  <c r="M50" i="1"/>
  <c r="M13" i="1"/>
  <c r="M19" i="1" s="1"/>
  <c r="M16" i="1"/>
  <c r="M46" i="1"/>
  <c r="K50" i="1"/>
  <c r="K54" i="1" s="1"/>
  <c r="K46" i="1"/>
  <c r="K16" i="1"/>
  <c r="Z16" i="1" s="1"/>
  <c r="AC16" i="1" s="1"/>
  <c r="K14" i="1"/>
  <c r="I52" i="1"/>
  <c r="Z52" i="1"/>
  <c r="B54" i="1"/>
  <c r="C54" i="1"/>
  <c r="D54" i="1"/>
  <c r="D55" i="1" s="1"/>
  <c r="E54" i="1"/>
  <c r="F54" i="1"/>
  <c r="G54" i="1"/>
  <c r="H54" i="1"/>
  <c r="J54" i="1"/>
  <c r="L54" i="1"/>
  <c r="N54" i="1"/>
  <c r="O54" i="1"/>
  <c r="P54" i="1"/>
  <c r="P55" i="1" s="1"/>
  <c r="Q54" i="1"/>
  <c r="R54" i="1"/>
  <c r="T54" i="1"/>
  <c r="U54" i="1"/>
  <c r="V54" i="1"/>
  <c r="X54" i="1"/>
  <c r="B39" i="1"/>
  <c r="C39" i="1"/>
  <c r="D39" i="1"/>
  <c r="E39" i="1"/>
  <c r="F39" i="1"/>
  <c r="G39" i="1"/>
  <c r="H39" i="1"/>
  <c r="I39" i="1"/>
  <c r="J39" i="1"/>
  <c r="K39" i="1"/>
  <c r="L39" i="1"/>
  <c r="M39" i="1"/>
  <c r="N39" i="1"/>
  <c r="O39" i="1"/>
  <c r="P39" i="1"/>
  <c r="Q39" i="1"/>
  <c r="R39" i="1"/>
  <c r="S39" i="1"/>
  <c r="T39" i="1"/>
  <c r="U39" i="1"/>
  <c r="V39" i="1"/>
  <c r="W39" i="1"/>
  <c r="X39" i="1"/>
  <c r="B34" i="1"/>
  <c r="C34" i="1"/>
  <c r="D34" i="1"/>
  <c r="E34" i="1"/>
  <c r="F34" i="1"/>
  <c r="G34" i="1"/>
  <c r="H34" i="1"/>
  <c r="I34" i="1"/>
  <c r="J34" i="1"/>
  <c r="K34" i="1"/>
  <c r="L34" i="1"/>
  <c r="M34" i="1"/>
  <c r="N34" i="1"/>
  <c r="O34" i="1"/>
  <c r="P34" i="1"/>
  <c r="Q34" i="1"/>
  <c r="R34" i="1"/>
  <c r="S34" i="1"/>
  <c r="T34" i="1"/>
  <c r="U34" i="1"/>
  <c r="V34" i="1"/>
  <c r="X34" i="1"/>
  <c r="B25" i="1"/>
  <c r="C25" i="1"/>
  <c r="D25" i="1"/>
  <c r="E25" i="1"/>
  <c r="F25" i="1"/>
  <c r="G25" i="1"/>
  <c r="H25" i="1"/>
  <c r="I25" i="1"/>
  <c r="J25" i="1"/>
  <c r="K25" i="1"/>
  <c r="L25" i="1"/>
  <c r="M25" i="1"/>
  <c r="N25" i="1"/>
  <c r="O25" i="1"/>
  <c r="P25" i="1"/>
  <c r="Q25" i="1"/>
  <c r="R25" i="1"/>
  <c r="S25" i="1"/>
  <c r="T25" i="1"/>
  <c r="U25" i="1"/>
  <c r="V25" i="1"/>
  <c r="W25" i="1"/>
  <c r="X25" i="1"/>
  <c r="B19" i="1"/>
  <c r="C19" i="1"/>
  <c r="D19" i="1"/>
  <c r="E19" i="1"/>
  <c r="F19" i="1"/>
  <c r="G19" i="1"/>
  <c r="H19" i="1"/>
  <c r="I19" i="1"/>
  <c r="J19" i="1"/>
  <c r="L19" i="1"/>
  <c r="N19" i="1"/>
  <c r="O19" i="1"/>
  <c r="P19" i="1"/>
  <c r="Q19" i="1"/>
  <c r="R19" i="1"/>
  <c r="S19" i="1"/>
  <c r="T19" i="1"/>
  <c r="U19" i="1"/>
  <c r="V19" i="1"/>
  <c r="W19" i="1"/>
  <c r="X19" i="1"/>
  <c r="Y39" i="1"/>
  <c r="Y34" i="1"/>
  <c r="Y25" i="1"/>
  <c r="Y19" i="1"/>
  <c r="Z53" i="1"/>
  <c r="Z51" i="1"/>
  <c r="Z49" i="1"/>
  <c r="Z48" i="1"/>
  <c r="Z47" i="1"/>
  <c r="Z45" i="1"/>
  <c r="Z43" i="1"/>
  <c r="Z42" i="1"/>
  <c r="Z38" i="1"/>
  <c r="Z37" i="1"/>
  <c r="AC37" i="1" s="1"/>
  <c r="Z36" i="1"/>
  <c r="Z32" i="1"/>
  <c r="Z31" i="1"/>
  <c r="AC31" i="1" s="1"/>
  <c r="Z30" i="1"/>
  <c r="AC30" i="1" s="1"/>
  <c r="Z29" i="1"/>
  <c r="Z28" i="1"/>
  <c r="Z27" i="1"/>
  <c r="Z24" i="1"/>
  <c r="Z23" i="1"/>
  <c r="Z22" i="1"/>
  <c r="Z21" i="1"/>
  <c r="AC21" i="1" s="1"/>
  <c r="Z18" i="1"/>
  <c r="AC18" i="1" s="1"/>
  <c r="Z17" i="1"/>
  <c r="Z15" i="1"/>
  <c r="AC15" i="1" s="1"/>
  <c r="Z14" i="1"/>
  <c r="AC14" i="1" s="1"/>
  <c r="Z13" i="1"/>
  <c r="AC13" i="1" s="1"/>
  <c r="Z10" i="1"/>
  <c r="D9" i="3"/>
  <c r="D13" i="2"/>
  <c r="D12" i="2"/>
  <c r="D58" i="3"/>
  <c r="D42" i="3"/>
  <c r="D36" i="3"/>
  <c r="D26" i="3"/>
  <c r="D19" i="3"/>
  <c r="Z41" i="1" l="1"/>
  <c r="Y54" i="1"/>
  <c r="Y55" i="1" s="1"/>
  <c r="W34" i="1"/>
  <c r="Z44" i="1"/>
  <c r="Z46" i="1"/>
  <c r="Q55" i="1"/>
  <c r="O55" i="1"/>
  <c r="M54" i="1"/>
  <c r="M55" i="1" s="1"/>
  <c r="Z50" i="1"/>
  <c r="K19" i="1"/>
  <c r="K55" i="1" s="1"/>
  <c r="I54" i="1"/>
  <c r="Z39" i="1"/>
  <c r="AC39" i="1" s="1"/>
  <c r="Z34" i="1"/>
  <c r="AC34" i="1" s="1"/>
  <c r="C55" i="1"/>
  <c r="N55" i="1"/>
  <c r="X55" i="1"/>
  <c r="L55" i="1"/>
  <c r="W55" i="1"/>
  <c r="V55" i="1"/>
  <c r="J55" i="1"/>
  <c r="U55" i="1"/>
  <c r="T55" i="1"/>
  <c r="H55" i="1"/>
  <c r="S55" i="1"/>
  <c r="G55" i="1"/>
  <c r="R55" i="1"/>
  <c r="F55" i="1"/>
  <c r="E55" i="1"/>
  <c r="Z25" i="1"/>
  <c r="AC25" i="1" s="1"/>
  <c r="D60" i="3"/>
  <c r="D62" i="3" s="1"/>
  <c r="Z54" i="1" l="1"/>
  <c r="Z19" i="1"/>
  <c r="AC19" i="1" s="1"/>
  <c r="I55" i="1"/>
  <c r="Z55" i="1" s="1"/>
  <c r="AC55" i="1" s="1"/>
  <c r="B9" i="2" l="1"/>
  <c r="D9" i="2" s="1"/>
  <c r="B57" i="3"/>
  <c r="B56" i="3"/>
  <c r="B55" i="3"/>
  <c r="B54" i="3"/>
  <c r="B53" i="3"/>
  <c r="B52" i="3"/>
  <c r="B51" i="3"/>
  <c r="B50" i="3"/>
  <c r="B49" i="3"/>
  <c r="B48" i="3"/>
  <c r="B47" i="3"/>
  <c r="B46" i="3"/>
  <c r="B45" i="3"/>
  <c r="B41" i="3"/>
  <c r="B40" i="3"/>
  <c r="B39" i="3"/>
  <c r="B35" i="3"/>
  <c r="B34" i="3"/>
  <c r="B33" i="3"/>
  <c r="B32" i="3"/>
  <c r="B31" i="3"/>
  <c r="B30" i="3"/>
  <c r="B29" i="3"/>
  <c r="B25" i="3"/>
  <c r="B24" i="3"/>
  <c r="B23" i="3"/>
  <c r="B22" i="3"/>
  <c r="B18" i="3"/>
  <c r="B17" i="3"/>
  <c r="B16" i="3"/>
  <c r="B15" i="3"/>
  <c r="B14" i="3"/>
  <c r="B13" i="3"/>
  <c r="C9" i="2"/>
  <c r="C13" i="2"/>
  <c r="C12" i="2"/>
  <c r="B36" i="3" l="1"/>
  <c r="B42" i="3"/>
  <c r="B13" i="2"/>
  <c r="B12" i="2"/>
  <c r="B26" i="3"/>
  <c r="B58" i="3"/>
  <c r="K9" i="5"/>
  <c r="K92" i="5" s="1"/>
  <c r="G11" i="8" l="1"/>
  <c r="K76" i="8"/>
  <c r="I74" i="8"/>
  <c r="I76" i="8"/>
  <c r="I77" i="8"/>
  <c r="I78" i="8"/>
  <c r="I79" i="8"/>
  <c r="I80" i="8"/>
  <c r="I81" i="8"/>
  <c r="I82" i="8"/>
  <c r="I83" i="8"/>
  <c r="I84" i="8"/>
  <c r="I72" i="8"/>
  <c r="I73" i="8"/>
  <c r="H85" i="8"/>
  <c r="H75" i="8"/>
  <c r="K63" i="8"/>
  <c r="I63" i="8"/>
  <c r="I61" i="8"/>
  <c r="I60" i="8"/>
  <c r="H68" i="8"/>
  <c r="K68" i="8" s="1"/>
  <c r="H62" i="8"/>
  <c r="K56" i="8"/>
  <c r="K50" i="8"/>
  <c r="I53" i="8"/>
  <c r="I54" i="8"/>
  <c r="I55" i="8"/>
  <c r="I52" i="8"/>
  <c r="I50" i="8"/>
  <c r="I48" i="8"/>
  <c r="I47" i="8"/>
  <c r="H49" i="8"/>
  <c r="K38" i="8"/>
  <c r="H43" i="8"/>
  <c r="I38" i="8"/>
  <c r="H37" i="8"/>
  <c r="I34" i="8"/>
  <c r="I35" i="8"/>
  <c r="I36" i="8"/>
  <c r="I33" i="8"/>
  <c r="I29" i="8"/>
  <c r="K22" i="8"/>
  <c r="I18" i="8"/>
  <c r="I19" i="8"/>
  <c r="I20" i="8"/>
  <c r="I22" i="8"/>
  <c r="I17" i="8"/>
  <c r="H21" i="8"/>
  <c r="C62" i="3"/>
  <c r="B19" i="3"/>
  <c r="G91" i="8" l="1"/>
  <c r="H9" i="8" s="1"/>
  <c r="H11" i="8" s="1"/>
  <c r="B60" i="3"/>
  <c r="B14" i="2"/>
  <c r="B16" i="2" s="1"/>
  <c r="K62" i="8"/>
  <c r="K69" i="8" s="1"/>
  <c r="I62" i="8"/>
  <c r="K75" i="8"/>
  <c r="I75" i="8"/>
  <c r="H89" i="8"/>
  <c r="K85" i="8"/>
  <c r="I85" i="8"/>
  <c r="K49" i="8"/>
  <c r="K57" i="8" s="1"/>
  <c r="I49" i="8"/>
  <c r="K21" i="8"/>
  <c r="I21" i="8"/>
  <c r="K37" i="8"/>
  <c r="I37" i="8"/>
  <c r="K43" i="8"/>
  <c r="I43" i="8"/>
  <c r="E12" i="2"/>
  <c r="C14" i="2"/>
  <c r="C16" i="2" s="1"/>
  <c r="F9" i="2" l="1"/>
  <c r="H91" i="8"/>
  <c r="E13" i="2"/>
  <c r="E14" i="2" s="1"/>
  <c r="E16" i="2" s="1"/>
  <c r="B62" i="3"/>
  <c r="K30" i="8"/>
  <c r="F12" i="2"/>
  <c r="K44" i="8"/>
  <c r="F13" i="2"/>
  <c r="I89" i="8"/>
  <c r="K86" i="8"/>
  <c r="K89" i="8" s="1"/>
  <c r="K91" i="8" s="1"/>
  <c r="D14" i="2" l="1"/>
  <c r="D16" i="2" s="1"/>
  <c r="F14" i="2"/>
  <c r="F16" i="2" s="1"/>
</calcChain>
</file>

<file path=xl/sharedStrings.xml><?xml version="1.0" encoding="utf-8"?>
<sst xmlns="http://schemas.openxmlformats.org/spreadsheetml/2006/main" count="597" uniqueCount="195">
  <si>
    <t>Content Appendix</t>
  </si>
  <si>
    <t xml:space="preserve">Tab </t>
  </si>
  <si>
    <t xml:space="preserve">Report Description </t>
  </si>
  <si>
    <t>Period</t>
  </si>
  <si>
    <t>HL-Budget</t>
  </si>
  <si>
    <t>High Level Summary of Budget</t>
  </si>
  <si>
    <t>FY2024</t>
  </si>
  <si>
    <t xml:space="preserve">Budget Projections </t>
  </si>
  <si>
    <t>Narrative and Revised Projections</t>
  </si>
  <si>
    <t xml:space="preserve">Budget Report Detail </t>
  </si>
  <si>
    <t xml:space="preserve">Budget Detail Report </t>
  </si>
  <si>
    <t>County Report</t>
  </si>
  <si>
    <t>Fairfax County Report - Template for submission per guidelines</t>
  </si>
  <si>
    <t>Tysons Community Alliance:  FY24 Budget and Projections</t>
  </si>
  <si>
    <t>REVENUE</t>
  </si>
  <si>
    <t xml:space="preserve">FY24 </t>
  </si>
  <si>
    <t>FY25</t>
  </si>
  <si>
    <t>Fairfax County Appropriation</t>
  </si>
  <si>
    <t xml:space="preserve">Contributions - Project Sponsorship </t>
  </si>
  <si>
    <t>PY Carryover (projected)</t>
  </si>
  <si>
    <t>Total</t>
  </si>
  <si>
    <t>EXPENDITURES</t>
  </si>
  <si>
    <t>Communications and Branding</t>
  </si>
  <si>
    <t>Staff</t>
  </si>
  <si>
    <t>FY24  Budget</t>
  </si>
  <si>
    <t>FY25 Budget</t>
  </si>
  <si>
    <t>Variance</t>
  </si>
  <si>
    <t>Explanation of Variance</t>
  </si>
  <si>
    <t>Director</t>
  </si>
  <si>
    <t xml:space="preserve">KGL Communications Contract (Broken Down) </t>
  </si>
  <si>
    <t>Communication Manager</t>
  </si>
  <si>
    <t xml:space="preserve">Marketing and Media Manager </t>
  </si>
  <si>
    <t>formerly - Social Media/Graphic Design</t>
  </si>
  <si>
    <t>Community Outreach Coordinator</t>
  </si>
  <si>
    <t>Benefits (33%)</t>
  </si>
  <si>
    <t>Other</t>
  </si>
  <si>
    <t>Marketing Materials</t>
  </si>
  <si>
    <t xml:space="preserve">Marketing Items (Marketing Collateral) </t>
  </si>
  <si>
    <t>Web Design and Maintenance</t>
  </si>
  <si>
    <t>Includes Special web projects budget at 41,400</t>
  </si>
  <si>
    <t>Advertising</t>
  </si>
  <si>
    <t xml:space="preserve">Should we increase this to 100K per comments for landscaping? </t>
  </si>
  <si>
    <t>Promotions</t>
  </si>
  <si>
    <t>Community Engagement Platform</t>
  </si>
  <si>
    <t>Subtotal</t>
  </si>
  <si>
    <t>Research, Planning and Development</t>
  </si>
  <si>
    <t>Vice President of Strategy &amp; Research</t>
  </si>
  <si>
    <t>Associate Research Director</t>
  </si>
  <si>
    <t>O'Halloran retainer for 6months and assumes FTE starting January 1st</t>
  </si>
  <si>
    <t>Research Manager</t>
  </si>
  <si>
    <t>6 more months of Whelley and Ochoa with assumed full time hire starting january 1, and capacity partners</t>
  </si>
  <si>
    <t>Supplemental Market Studies</t>
  </si>
  <si>
    <t xml:space="preserve">Will move for FY2025 "Transportation Studies, incl. Data Platform Subscriptions"
</t>
  </si>
  <si>
    <t>Reports/Publication</t>
  </si>
  <si>
    <t xml:space="preserve">Includes Software and Resource's </t>
  </si>
  <si>
    <t>Meeting Support</t>
  </si>
  <si>
    <t>Placemaking and Management</t>
  </si>
  <si>
    <t>Not currently billing, assuming FTE Nov.1,2023</t>
  </si>
  <si>
    <t>Events Manager</t>
  </si>
  <si>
    <t xml:space="preserve">Currently under KGL contract - Tom Pimkin </t>
  </si>
  <si>
    <t xml:space="preserve">Benefits need correction </t>
  </si>
  <si>
    <t>Event Programs</t>
  </si>
  <si>
    <t>Place Projects</t>
  </si>
  <si>
    <t>Equipment and Supplies</t>
  </si>
  <si>
    <t xml:space="preserve">Beautifcation &amp; Way Finding </t>
  </si>
  <si>
    <t>Treeplanting, landscaping etc</t>
  </si>
  <si>
    <t>Transportation and Mobility</t>
  </si>
  <si>
    <t>Director of Transportation &amp; Mobility</t>
  </si>
  <si>
    <t>Colleen Hawkinson Contract, moving her contract to placemaking</t>
  </si>
  <si>
    <t>Mobility Coordinator</t>
  </si>
  <si>
    <t>Assuming FTE Jan.1,2024</t>
  </si>
  <si>
    <t>Benefits</t>
  </si>
  <si>
    <t>TDM Incentives</t>
  </si>
  <si>
    <t>Pilot Projects</t>
  </si>
  <si>
    <t>Transportation Studies</t>
  </si>
  <si>
    <t>Administration and Finance</t>
  </si>
  <si>
    <t>Executive Director</t>
  </si>
  <si>
    <t>Dir. Admin + Finance</t>
  </si>
  <si>
    <t xml:space="preserve">Assuming October Start </t>
  </si>
  <si>
    <t>Workplace Manager</t>
  </si>
  <si>
    <t>Rent</t>
  </si>
  <si>
    <t>Expected high end rent plus 1 month security deposit, assuming Jan.1 2024 new lease</t>
  </si>
  <si>
    <t>Equipment</t>
  </si>
  <si>
    <t>Travel/Meeting Expenses</t>
  </si>
  <si>
    <t>Supplies</t>
  </si>
  <si>
    <t>Insurances</t>
  </si>
  <si>
    <t>Accounting/Audits</t>
  </si>
  <si>
    <t xml:space="preserve">Suggest breakout for FY2025 - includes software </t>
  </si>
  <si>
    <t>Consultants</t>
  </si>
  <si>
    <t>Startegic Consulting (Rich Bradlee) + Legal Retainer (add IT to consultants )</t>
  </si>
  <si>
    <t>TOTAL EXPENDITURES</t>
  </si>
  <si>
    <t>PROJECTED SURPLUS</t>
  </si>
  <si>
    <t>Tysons Community Alliance</t>
  </si>
  <si>
    <t>YTD Budget Report FY2024</t>
  </si>
  <si>
    <t>As of May 31, 2024</t>
  </si>
  <si>
    <t xml:space="preserve"> </t>
  </si>
  <si>
    <t>Category</t>
  </si>
  <si>
    <t>Year To Date</t>
  </si>
  <si>
    <t>FY24   Budget</t>
  </si>
  <si>
    <t>FY24 Forecast</t>
  </si>
  <si>
    <t>Total  Revenues</t>
  </si>
  <si>
    <t>Expenses:</t>
  </si>
  <si>
    <t xml:space="preserve">  </t>
  </si>
  <si>
    <t xml:space="preserve">    Communications &amp; Branding</t>
  </si>
  <si>
    <t xml:space="preserve">    </t>
  </si>
  <si>
    <t xml:space="preserve">      Staff Salary &amp; Benefits</t>
  </si>
  <si>
    <t xml:space="preserve">      Marketing</t>
  </si>
  <si>
    <t xml:space="preserve">      Web Design &amp; Maintenance</t>
  </si>
  <si>
    <t xml:space="preserve">      Advertising</t>
  </si>
  <si>
    <t xml:space="preserve">      Promotions</t>
  </si>
  <si>
    <t xml:space="preserve">      Community Engagement Platform</t>
  </si>
  <si>
    <t xml:space="preserve">    Total Communications &amp; Branding</t>
  </si>
  <si>
    <t xml:space="preserve">    Research, Planning, &amp; Development</t>
  </si>
  <si>
    <t xml:space="preserve">      Supplemental Market Studies</t>
  </si>
  <si>
    <t xml:space="preserve">      Reports/Publications</t>
  </si>
  <si>
    <t xml:space="preserve">      Meeting Support</t>
  </si>
  <si>
    <t xml:space="preserve">    Total Research, Planning, &amp; Development</t>
  </si>
  <si>
    <t xml:space="preserve">    Placemaking and Management</t>
  </si>
  <si>
    <t xml:space="preserve">      Supplies</t>
  </si>
  <si>
    <t xml:space="preserve">      Equipment</t>
  </si>
  <si>
    <t xml:space="preserve">      Place Projects</t>
  </si>
  <si>
    <t xml:space="preserve">      Event Programs</t>
  </si>
  <si>
    <t xml:space="preserve">      Beautification</t>
  </si>
  <si>
    <t xml:space="preserve">      Way-Finding Programs</t>
  </si>
  <si>
    <t xml:space="preserve">    Total Placemaking and Management</t>
  </si>
  <si>
    <t xml:space="preserve">    Transportation &amp; Mobility</t>
  </si>
  <si>
    <t xml:space="preserve">      TDM Incentives</t>
  </si>
  <si>
    <t xml:space="preserve">      Pilot Projects</t>
  </si>
  <si>
    <t xml:space="preserve">    Total Transportation &amp; Mobility</t>
  </si>
  <si>
    <t xml:space="preserve">    Administrative</t>
  </si>
  <si>
    <t xml:space="preserve">      Occupancy (rent, etc.)</t>
  </si>
  <si>
    <t xml:space="preserve">      Insurance</t>
  </si>
  <si>
    <t xml:space="preserve">      Accounting &amp; Financial Reporting</t>
  </si>
  <si>
    <t xml:space="preserve">      Audit</t>
  </si>
  <si>
    <t xml:space="preserve">      Technology Fees</t>
  </si>
  <si>
    <t xml:space="preserve">      Membership Dues &amp; Subscriptions</t>
  </si>
  <si>
    <t xml:space="preserve">      Legal</t>
  </si>
  <si>
    <t xml:space="preserve">      Travel &amp; Meetings</t>
  </si>
  <si>
    <t xml:space="preserve">      IT Support Services</t>
  </si>
  <si>
    <t xml:space="preserve">      Licenses</t>
  </si>
  <si>
    <t xml:space="preserve">    Total Administrative</t>
  </si>
  <si>
    <t xml:space="preserve">  Total Total Expenses</t>
  </si>
  <si>
    <t>Revenue Minus Expneses</t>
  </si>
  <si>
    <t>FY24 Fairfax County Appropriation</t>
  </si>
  <si>
    <t>FY23 TCA Carryover (projected)</t>
  </si>
  <si>
    <t>Approved Budget</t>
  </si>
  <si>
    <t xml:space="preserve">Updated Budget Projections </t>
  </si>
  <si>
    <t xml:space="preserve">Beautifcation </t>
  </si>
  <si>
    <t xml:space="preserve">Way Finding </t>
  </si>
  <si>
    <t xml:space="preserve">signage </t>
  </si>
  <si>
    <t>Tyson CA</t>
  </si>
  <si>
    <t>TCA- Budget Report</t>
  </si>
  <si>
    <t>Reporting Book:</t>
  </si>
  <si>
    <t>ACCRUAL</t>
  </si>
  <si>
    <t>As of Date:</t>
  </si>
  <si>
    <t>05/31/2024</t>
  </si>
  <si>
    <t>Budget</t>
  </si>
  <si>
    <t>Actual</t>
  </si>
  <si>
    <t>Year Ending</t>
  </si>
  <si>
    <t>Amount Remaining</t>
  </si>
  <si>
    <t>07/31/2023</t>
  </si>
  <si>
    <t>08/31/2023</t>
  </si>
  <si>
    <t>09/30/2023</t>
  </si>
  <si>
    <t>10/31/2023</t>
  </si>
  <si>
    <t>11/30/2023</t>
  </si>
  <si>
    <t>12/31/2023</t>
  </si>
  <si>
    <t>01/31/2024</t>
  </si>
  <si>
    <t>02/29/2024</t>
  </si>
  <si>
    <t>03/31/2024</t>
  </si>
  <si>
    <t>04/30/2024</t>
  </si>
  <si>
    <t>06/30/2024</t>
  </si>
  <si>
    <t>YTD Actual</t>
  </si>
  <si>
    <t>FY24 Original Budget</t>
  </si>
  <si>
    <t>Actual vs Forecast</t>
  </si>
  <si>
    <t xml:space="preserve">  Revenues</t>
  </si>
  <si>
    <t xml:space="preserve">  Total Expenses</t>
  </si>
  <si>
    <t xml:space="preserve">Tysons Community Alliance </t>
  </si>
  <si>
    <t>FY 2024 Financial Report &amp; FY25 Budget</t>
  </si>
  <si>
    <t>FY 2024</t>
  </si>
  <si>
    <t>FY 2025</t>
  </si>
  <si>
    <t xml:space="preserve">Adopted </t>
  </si>
  <si>
    <t xml:space="preserve">Revised </t>
  </si>
  <si>
    <t>Remaining</t>
  </si>
  <si>
    <t>Projected</t>
  </si>
  <si>
    <t>FUNDING</t>
  </si>
  <si>
    <t>Income:</t>
  </si>
  <si>
    <t>GSF- General Fund</t>
  </si>
  <si>
    <t>Expenditures:</t>
  </si>
  <si>
    <t>Personnel Service</t>
  </si>
  <si>
    <t>Operating Expenses</t>
  </si>
  <si>
    <t>Total Expenditures</t>
  </si>
  <si>
    <t>Operating Surplus / Loss</t>
  </si>
  <si>
    <t>As of June, 2024</t>
  </si>
  <si>
    <t>YTD Actual 
Jun 24</t>
  </si>
  <si>
    <t>Full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</si>
</sst>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6" formatCode="&quot;$&quot;#,##0_);[Red]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0;\(#,##0.00\)"/>
    <numFmt numFmtId="165" formatCode="[$-409]mmm\-yy;@"/>
    <numFmt numFmtId="166" formatCode="_(* #,##0_);_(* \(#,##0\);_(* &quot;-&quot;??_);_(@_)"/>
    <numFmt numFmtId="167" formatCode="_(&quot;$&quot;* #,##0_);_(&quot;$&quot;* \(#,##0\);_(&quot;$&quot;* &quot;-&quot;??_);_(@_)"/>
    <numFmt numFmtId="168" formatCode="#,##0;\(#,##0\)"/>
    <numFmt numFmtId="169" formatCode="0.0000%"/>
    <numFmt numFmtId="170" formatCode="_([$$-409]* #,##0_);_([$$-409]* \(#,##0\);_([$$-409]* &quot;-&quot;??_);_(@_)"/>
  </numFmts>
  <fonts count="31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4"/>
      <name val="Helvetica"/>
      <family val="2"/>
    </font>
    <font>
      <sz val="10"/>
      <name val="Helvetica"/>
      <family val="2"/>
    </font>
    <font>
      <sz val="8"/>
      <name val="Helvetica"/>
      <family val="2"/>
    </font>
    <font>
      <sz val="1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u/>
      <sz val="11"/>
      <name val="Arial"/>
      <family val="2"/>
    </font>
    <font>
      <sz val="10"/>
      <name val="Times New Roman"/>
      <family val="1"/>
    </font>
    <font>
      <b/>
      <sz val="16"/>
      <name val="Times New Roman"/>
      <family val="1"/>
    </font>
    <font>
      <b/>
      <sz val="10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b/>
      <sz val="12"/>
      <name val="Times New Roman"/>
      <family val="1"/>
    </font>
    <font>
      <b/>
      <sz val="11"/>
      <name val="Times New Roman"/>
      <family val="1"/>
    </font>
    <font>
      <b/>
      <sz val="14"/>
      <name val="Times New Roman"/>
      <family val="1"/>
    </font>
    <font>
      <b/>
      <u/>
      <sz val="12"/>
      <name val="Times New Roman"/>
      <family val="1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rgb="FFFF0000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b/>
      <sz val="12"/>
      <color rgb="FFFF0000"/>
      <name val="Arial"/>
      <family val="2"/>
    </font>
    <font>
      <b/>
      <u/>
      <sz val="12"/>
      <color theme="1"/>
      <name val="Arial"/>
      <family val="2"/>
    </font>
    <font>
      <b/>
      <sz val="12"/>
      <name val="Arial"/>
      <family val="2"/>
    </font>
    <font>
      <i/>
      <sz val="12"/>
      <color rgb="FFFF0000"/>
      <name val="Arial"/>
      <family val="2"/>
    </font>
    <font>
      <b/>
      <i/>
      <sz val="12"/>
      <color rgb="FFFF0000"/>
      <name val="Arial"/>
      <family val="2"/>
    </font>
    <font>
      <sz val="8"/>
      <name val="Arial"/>
      <family val="2"/>
    </font>
    <font>
      <u/>
      <sz val="10"/>
      <color theme="10"/>
      <name val="Arial"/>
      <family val="2"/>
    </font>
    <font>
      <b/>
      <sz val="10"/>
      <color theme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1">
    <xf numFmtId="0" fontId="0" fillId="0" borderId="0"/>
    <xf numFmtId="9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2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0" fontId="18" fillId="0" borderId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9" fillId="0" borderId="0" applyNumberFormat="0" applyFill="0" applyBorder="0" applyAlignment="0" applyProtection="0"/>
  </cellStyleXfs>
  <cellXfs count="147">
    <xf numFmtId="0" fontId="0" fillId="0" borderId="0" xfId="0"/>
    <xf numFmtId="0" fontId="0" fillId="2" borderId="0" xfId="0" applyFill="1"/>
    <xf numFmtId="0" fontId="0" fillId="2" borderId="0" xfId="0" applyFill="1" applyAlignment="1">
      <alignment horizontal="left"/>
    </xf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left"/>
    </xf>
    <xf numFmtId="0" fontId="3" fillId="2" borderId="0" xfId="0" applyFont="1" applyFill="1" applyAlignment="1">
      <alignment horizontal="right"/>
    </xf>
    <xf numFmtId="0" fontId="4" fillId="2" borderId="0" xfId="0" applyFont="1" applyFill="1" applyAlignment="1">
      <alignment horizontal="left"/>
    </xf>
    <xf numFmtId="0" fontId="4" fillId="2" borderId="2" xfId="0" applyFont="1" applyFill="1" applyBorder="1" applyAlignment="1">
      <alignment horizontal="right"/>
    </xf>
    <xf numFmtId="164" fontId="3" fillId="2" borderId="3" xfId="0" applyNumberFormat="1" applyFont="1" applyFill="1" applyBorder="1" applyAlignment="1">
      <alignment horizontal="right"/>
    </xf>
    <xf numFmtId="0" fontId="3" fillId="2" borderId="4" xfId="0" applyFont="1" applyFill="1" applyBorder="1" applyAlignment="1">
      <alignment horizontal="left"/>
    </xf>
    <xf numFmtId="164" fontId="3" fillId="2" borderId="0" xfId="0" applyNumberFormat="1" applyFont="1" applyFill="1" applyAlignment="1">
      <alignment horizontal="right"/>
    </xf>
    <xf numFmtId="0" fontId="3" fillId="2" borderId="2" xfId="0" applyFont="1" applyFill="1" applyBorder="1" applyAlignment="1">
      <alignment horizontal="left"/>
    </xf>
    <xf numFmtId="0" fontId="7" fillId="3" borderId="7" xfId="0" applyFont="1" applyFill="1" applyBorder="1" applyAlignment="1">
      <alignment horizontal="center"/>
    </xf>
    <xf numFmtId="0" fontId="7" fillId="3" borderId="8" xfId="0" applyFont="1" applyFill="1" applyBorder="1" applyAlignment="1">
      <alignment horizontal="center"/>
    </xf>
    <xf numFmtId="0" fontId="7" fillId="4" borderId="0" xfId="0" applyFont="1" applyFill="1"/>
    <xf numFmtId="0" fontId="0" fillId="4" borderId="0" xfId="0" applyFill="1"/>
    <xf numFmtId="0" fontId="9" fillId="2" borderId="0" xfId="0" applyFont="1" applyFill="1"/>
    <xf numFmtId="0" fontId="9" fillId="2" borderId="0" xfId="0" applyFont="1" applyFill="1" applyAlignment="1">
      <alignment horizontal="left"/>
    </xf>
    <xf numFmtId="0" fontId="11" fillId="5" borderId="7" xfId="0" applyFont="1" applyFill="1" applyBorder="1" applyAlignment="1">
      <alignment horizontal="center" wrapText="1"/>
    </xf>
    <xf numFmtId="0" fontId="11" fillId="5" borderId="10" xfId="0" applyFont="1" applyFill="1" applyBorder="1" applyAlignment="1">
      <alignment horizontal="center" wrapText="1"/>
    </xf>
    <xf numFmtId="165" fontId="11" fillId="5" borderId="8" xfId="0" applyNumberFormat="1" applyFont="1" applyFill="1" applyBorder="1" applyAlignment="1">
      <alignment horizontal="center"/>
    </xf>
    <xf numFmtId="165" fontId="11" fillId="5" borderId="11" xfId="0" applyNumberFormat="1" applyFont="1" applyFill="1" applyBorder="1" applyAlignment="1">
      <alignment horizontal="center"/>
    </xf>
    <xf numFmtId="165" fontId="9" fillId="2" borderId="0" xfId="0" applyNumberFormat="1" applyFont="1" applyFill="1"/>
    <xf numFmtId="0" fontId="12" fillId="2" borderId="0" xfId="0" applyFont="1" applyFill="1" applyAlignment="1">
      <alignment horizontal="left"/>
    </xf>
    <xf numFmtId="0" fontId="13" fillId="2" borderId="0" xfId="0" applyFont="1" applyFill="1" applyAlignment="1">
      <alignment horizontal="center"/>
    </xf>
    <xf numFmtId="0" fontId="13" fillId="2" borderId="2" xfId="0" applyFont="1" applyFill="1" applyBorder="1" applyAlignment="1">
      <alignment horizontal="center"/>
    </xf>
    <xf numFmtId="0" fontId="14" fillId="2" borderId="0" xfId="0" applyFont="1" applyFill="1" applyAlignment="1">
      <alignment horizontal="left" indent="1"/>
    </xf>
    <xf numFmtId="167" fontId="11" fillId="2" borderId="6" xfId="2" applyNumberFormat="1" applyFont="1" applyFill="1" applyBorder="1" applyAlignment="1">
      <alignment horizontal="right"/>
    </xf>
    <xf numFmtId="168" fontId="11" fillId="2" borderId="0" xfId="0" applyNumberFormat="1" applyFont="1" applyFill="1" applyAlignment="1">
      <alignment horizontal="right"/>
    </xf>
    <xf numFmtId="0" fontId="14" fillId="2" borderId="0" xfId="0" applyFont="1" applyFill="1" applyAlignment="1">
      <alignment horizontal="left"/>
    </xf>
    <xf numFmtId="168" fontId="9" fillId="2" borderId="0" xfId="0" applyNumberFormat="1" applyFont="1" applyFill="1" applyAlignment="1">
      <alignment horizontal="left"/>
    </xf>
    <xf numFmtId="0" fontId="15" fillId="2" borderId="0" xfId="0" applyFont="1" applyFill="1" applyAlignment="1">
      <alignment horizontal="left"/>
    </xf>
    <xf numFmtId="168" fontId="9" fillId="2" borderId="0" xfId="0" applyNumberFormat="1" applyFont="1" applyFill="1" applyAlignment="1">
      <alignment horizontal="right"/>
    </xf>
    <xf numFmtId="168" fontId="11" fillId="2" borderId="5" xfId="0" applyNumberFormat="1" applyFont="1" applyFill="1" applyBorder="1" applyAlignment="1">
      <alignment horizontal="right"/>
    </xf>
    <xf numFmtId="168" fontId="11" fillId="2" borderId="2" xfId="0" applyNumberFormat="1" applyFont="1" applyFill="1" applyBorder="1" applyAlignment="1">
      <alignment horizontal="right"/>
    </xf>
    <xf numFmtId="168" fontId="9" fillId="2" borderId="2" xfId="0" applyNumberFormat="1" applyFont="1" applyFill="1" applyBorder="1" applyAlignment="1">
      <alignment horizontal="right"/>
    </xf>
    <xf numFmtId="168" fontId="9" fillId="2" borderId="2" xfId="0" applyNumberFormat="1" applyFont="1" applyFill="1" applyBorder="1" applyAlignment="1">
      <alignment horizontal="left"/>
    </xf>
    <xf numFmtId="168" fontId="11" fillId="2" borderId="6" xfId="0" applyNumberFormat="1" applyFont="1" applyFill="1" applyBorder="1" applyAlignment="1">
      <alignment horizontal="right"/>
    </xf>
    <xf numFmtId="168" fontId="11" fillId="2" borderId="0" xfId="0" applyNumberFormat="1" applyFont="1" applyFill="1"/>
    <xf numFmtId="168" fontId="11" fillId="2" borderId="9" xfId="0" applyNumberFormat="1" applyFont="1" applyFill="1" applyBorder="1"/>
    <xf numFmtId="0" fontId="16" fillId="2" borderId="0" xfId="0" applyFont="1" applyFill="1" applyAlignment="1">
      <alignment horizontal="left"/>
    </xf>
    <xf numFmtId="0" fontId="17" fillId="2" borderId="0" xfId="0" applyFont="1" applyFill="1" applyAlignment="1">
      <alignment horizontal="left"/>
    </xf>
    <xf numFmtId="0" fontId="7" fillId="3" borderId="7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19" fillId="6" borderId="0" xfId="6" applyFont="1" applyFill="1"/>
    <xf numFmtId="166" fontId="19" fillId="6" borderId="0" xfId="4" applyNumberFormat="1" applyFont="1" applyFill="1"/>
    <xf numFmtId="166" fontId="20" fillId="6" borderId="0" xfId="8" applyNumberFormat="1" applyFont="1" applyFill="1"/>
    <xf numFmtId="0" fontId="21" fillId="6" borderId="0" xfId="6" applyFont="1" applyFill="1"/>
    <xf numFmtId="167" fontId="21" fillId="6" borderId="0" xfId="7" applyNumberFormat="1" applyFont="1" applyFill="1" applyBorder="1"/>
    <xf numFmtId="0" fontId="21" fillId="6" borderId="0" xfId="6" applyFont="1" applyFill="1" applyAlignment="1">
      <alignment horizontal="center" wrapText="1"/>
    </xf>
    <xf numFmtId="0" fontId="19" fillId="6" borderId="0" xfId="6" applyFont="1" applyFill="1" applyAlignment="1">
      <alignment vertical="center"/>
    </xf>
    <xf numFmtId="0" fontId="19" fillId="6" borderId="2" xfId="6" applyFont="1" applyFill="1" applyBorder="1"/>
    <xf numFmtId="166" fontId="19" fillId="6" borderId="0" xfId="8" applyNumberFormat="1" applyFont="1" applyFill="1" applyBorder="1"/>
    <xf numFmtId="0" fontId="19" fillId="6" borderId="0" xfId="6" applyFont="1" applyFill="1" applyAlignment="1">
      <alignment vertical="center" wrapText="1"/>
    </xf>
    <xf numFmtId="167" fontId="21" fillId="6" borderId="2" xfId="7" applyNumberFormat="1" applyFont="1" applyFill="1" applyBorder="1"/>
    <xf numFmtId="0" fontId="22" fillId="6" borderId="0" xfId="6" applyFont="1" applyFill="1"/>
    <xf numFmtId="166" fontId="19" fillId="6" borderId="0" xfId="6" applyNumberFormat="1" applyFont="1" applyFill="1"/>
    <xf numFmtId="6" fontId="19" fillId="6" borderId="2" xfId="6" applyNumberFormat="1" applyFont="1" applyFill="1" applyBorder="1"/>
    <xf numFmtId="0" fontId="21" fillId="6" borderId="13" xfId="6" applyFont="1" applyFill="1" applyBorder="1"/>
    <xf numFmtId="0" fontId="21" fillId="6" borderId="14" xfId="6" applyFont="1" applyFill="1" applyBorder="1"/>
    <xf numFmtId="166" fontId="21" fillId="6" borderId="14" xfId="4" applyNumberFormat="1" applyFont="1" applyFill="1" applyBorder="1"/>
    <xf numFmtId="166" fontId="23" fillId="6" borderId="14" xfId="8" applyNumberFormat="1" applyFont="1" applyFill="1" applyBorder="1"/>
    <xf numFmtId="167" fontId="21" fillId="6" borderId="15" xfId="7" applyNumberFormat="1" applyFont="1" applyFill="1" applyBorder="1"/>
    <xf numFmtId="167" fontId="19" fillId="6" borderId="2" xfId="2" applyNumberFormat="1" applyFont="1" applyFill="1" applyBorder="1"/>
    <xf numFmtId="167" fontId="19" fillId="6" borderId="0" xfId="2" applyNumberFormat="1" applyFont="1" applyFill="1"/>
    <xf numFmtId="167" fontId="19" fillId="6" borderId="0" xfId="2" applyNumberFormat="1" applyFont="1" applyFill="1" applyBorder="1"/>
    <xf numFmtId="166" fontId="21" fillId="6" borderId="0" xfId="4" applyNumberFormat="1" applyFont="1" applyFill="1"/>
    <xf numFmtId="166" fontId="23" fillId="6" borderId="0" xfId="8" applyNumberFormat="1" applyFont="1" applyFill="1"/>
    <xf numFmtId="167" fontId="21" fillId="6" borderId="0" xfId="7" applyNumberFormat="1" applyFont="1" applyFill="1"/>
    <xf numFmtId="0" fontId="24" fillId="6" borderId="0" xfId="6" applyFont="1" applyFill="1"/>
    <xf numFmtId="166" fontId="22" fillId="6" borderId="0" xfId="4" applyNumberFormat="1" applyFont="1" applyFill="1"/>
    <xf numFmtId="167" fontId="22" fillId="6" borderId="0" xfId="7" applyNumberFormat="1" applyFont="1" applyFill="1"/>
    <xf numFmtId="167" fontId="22" fillId="6" borderId="0" xfId="7" applyNumberFormat="1" applyFont="1" applyFill="1" applyBorder="1"/>
    <xf numFmtId="167" fontId="22" fillId="6" borderId="1" xfId="7" applyNumberFormat="1" applyFont="1" applyFill="1" applyBorder="1"/>
    <xf numFmtId="166" fontId="21" fillId="6" borderId="0" xfId="4" applyNumberFormat="1" applyFont="1" applyFill="1" applyAlignment="1">
      <alignment horizontal="center" wrapText="1"/>
    </xf>
    <xf numFmtId="166" fontId="25" fillId="6" borderId="0" xfId="8" applyNumberFormat="1" applyFont="1" applyFill="1" applyAlignment="1">
      <alignment horizontal="center" wrapText="1"/>
    </xf>
    <xf numFmtId="166" fontId="22" fillId="6" borderId="2" xfId="8" applyNumberFormat="1" applyFont="1" applyFill="1" applyBorder="1"/>
    <xf numFmtId="166" fontId="22" fillId="6" borderId="2" xfId="4" applyNumberFormat="1" applyFont="1" applyFill="1" applyBorder="1"/>
    <xf numFmtId="167" fontId="22" fillId="6" borderId="2" xfId="7" applyNumberFormat="1" applyFont="1" applyFill="1" applyBorder="1"/>
    <xf numFmtId="166" fontId="22" fillId="6" borderId="0" xfId="8" applyNumberFormat="1" applyFont="1" applyFill="1" applyBorder="1"/>
    <xf numFmtId="166" fontId="22" fillId="6" borderId="0" xfId="4" applyNumberFormat="1" applyFont="1" applyFill="1" applyBorder="1"/>
    <xf numFmtId="0" fontId="19" fillId="6" borderId="0" xfId="6" applyFont="1" applyFill="1" applyAlignment="1">
      <alignment wrapText="1"/>
    </xf>
    <xf numFmtId="167" fontId="22" fillId="6" borderId="2" xfId="2" applyNumberFormat="1" applyFont="1" applyFill="1" applyBorder="1"/>
    <xf numFmtId="167" fontId="22" fillId="6" borderId="0" xfId="2" applyNumberFormat="1" applyFont="1" applyFill="1" applyBorder="1"/>
    <xf numFmtId="0" fontId="19" fillId="6" borderId="0" xfId="6" applyFont="1" applyFill="1" applyAlignment="1">
      <alignment vertical="top" wrapText="1"/>
    </xf>
    <xf numFmtId="43" fontId="19" fillId="6" borderId="0" xfId="6" applyNumberFormat="1" applyFont="1" applyFill="1" applyAlignment="1">
      <alignment wrapText="1"/>
    </xf>
    <xf numFmtId="0" fontId="20" fillId="6" borderId="0" xfId="6" applyFont="1" applyFill="1" applyAlignment="1">
      <alignment wrapText="1"/>
    </xf>
    <xf numFmtId="166" fontId="22" fillId="6" borderId="12" xfId="8" applyNumberFormat="1" applyFont="1" applyFill="1" applyBorder="1"/>
    <xf numFmtId="0" fontId="26" fillId="6" borderId="0" xfId="6" applyFont="1" applyFill="1" applyAlignment="1">
      <alignment horizontal="right"/>
    </xf>
    <xf numFmtId="166" fontId="21" fillId="6" borderId="15" xfId="4" applyNumberFormat="1" applyFont="1" applyFill="1" applyBorder="1"/>
    <xf numFmtId="166" fontId="27" fillId="6" borderId="0" xfId="8" applyNumberFormat="1" applyFont="1" applyFill="1"/>
    <xf numFmtId="167" fontId="26" fillId="6" borderId="0" xfId="8" applyNumberFormat="1" applyFont="1" applyFill="1"/>
    <xf numFmtId="169" fontId="27" fillId="6" borderId="0" xfId="9" applyNumberFormat="1" applyFont="1" applyFill="1"/>
    <xf numFmtId="166" fontId="20" fillId="6" borderId="0" xfId="8" applyNumberFormat="1" applyFont="1" applyFill="1" applyBorder="1"/>
    <xf numFmtId="167" fontId="19" fillId="6" borderId="0" xfId="7" applyNumberFormat="1" applyFont="1" applyFill="1" applyBorder="1"/>
    <xf numFmtId="0" fontId="6" fillId="6" borderId="0" xfId="0" applyFont="1" applyFill="1"/>
    <xf numFmtId="0" fontId="0" fillId="6" borderId="0" xfId="0" applyFill="1"/>
    <xf numFmtId="0" fontId="8" fillId="6" borderId="0" xfId="0" applyFont="1" applyFill="1"/>
    <xf numFmtId="0" fontId="0" fillId="6" borderId="0" xfId="0" applyFill="1" applyAlignment="1">
      <alignment horizontal="left" indent="1"/>
    </xf>
    <xf numFmtId="167" fontId="7" fillId="6" borderId="0" xfId="2" applyNumberFormat="1" applyFont="1" applyFill="1"/>
    <xf numFmtId="166" fontId="0" fillId="6" borderId="0" xfId="0" applyNumberFormat="1" applyFill="1"/>
    <xf numFmtId="166" fontId="0" fillId="6" borderId="1" xfId="0" applyNumberFormat="1" applyFill="1" applyBorder="1"/>
    <xf numFmtId="0" fontId="7" fillId="6" borderId="0" xfId="0" applyFont="1" applyFill="1" applyAlignment="1">
      <alignment horizontal="left"/>
    </xf>
    <xf numFmtId="167" fontId="7" fillId="6" borderId="6" xfId="2" applyNumberFormat="1" applyFont="1" applyFill="1" applyBorder="1"/>
    <xf numFmtId="0" fontId="0" fillId="0" borderId="0" xfId="0" applyAlignment="1">
      <alignment wrapText="1"/>
    </xf>
    <xf numFmtId="0" fontId="7" fillId="0" borderId="0" xfId="0" applyFont="1" applyAlignment="1">
      <alignment horizontal="center"/>
    </xf>
    <xf numFmtId="0" fontId="7" fillId="0" borderId="0" xfId="0" applyFont="1"/>
    <xf numFmtId="43" fontId="30" fillId="0" borderId="0" xfId="10" applyNumberFormat="1" applyFont="1" applyAlignment="1">
      <alignment horizontal="center"/>
    </xf>
    <xf numFmtId="0" fontId="7" fillId="0" borderId="0" xfId="0" applyFont="1" applyAlignment="1">
      <alignment wrapText="1"/>
    </xf>
    <xf numFmtId="167" fontId="19" fillId="6" borderId="0" xfId="6" applyNumberFormat="1" applyFont="1" applyFill="1"/>
    <xf numFmtId="44" fontId="19" fillId="6" borderId="0" xfId="6" applyNumberFormat="1" applyFont="1" applyFill="1"/>
    <xf numFmtId="167" fontId="0" fillId="0" borderId="0" xfId="0" applyNumberFormat="1"/>
    <xf numFmtId="0" fontId="7" fillId="3" borderId="8" xfId="0" applyFont="1" applyFill="1" applyBorder="1" applyAlignment="1">
      <alignment horizontal="center" vertical="center" wrapText="1"/>
    </xf>
    <xf numFmtId="166" fontId="22" fillId="6" borderId="0" xfId="8" applyNumberFormat="1" applyFont="1" applyFill="1"/>
    <xf numFmtId="166" fontId="19" fillId="6" borderId="0" xfId="8" applyNumberFormat="1" applyFont="1" applyFill="1"/>
    <xf numFmtId="167" fontId="22" fillId="6" borderId="0" xfId="2" applyNumberFormat="1" applyFont="1" applyFill="1"/>
    <xf numFmtId="167" fontId="19" fillId="6" borderId="0" xfId="7" applyNumberFormat="1" applyFont="1" applyFill="1"/>
    <xf numFmtId="167" fontId="21" fillId="6" borderId="14" xfId="6" applyNumberFormat="1" applyFont="1" applyFill="1" applyBorder="1"/>
    <xf numFmtId="0" fontId="21" fillId="6" borderId="0" xfId="6" applyFont="1" applyFill="1" applyAlignment="1">
      <alignment horizontal="right"/>
    </xf>
    <xf numFmtId="0" fontId="19" fillId="6" borderId="0" xfId="6" applyFont="1" applyFill="1" applyAlignment="1">
      <alignment horizontal="left"/>
    </xf>
    <xf numFmtId="0" fontId="21" fillId="6" borderId="0" xfId="6" applyFont="1" applyFill="1" applyAlignment="1">
      <alignment horizontal="center"/>
    </xf>
    <xf numFmtId="166" fontId="25" fillId="6" borderId="0" xfId="4" applyNumberFormat="1" applyFont="1" applyFill="1" applyAlignment="1">
      <alignment horizontal="center"/>
    </xf>
    <xf numFmtId="170" fontId="21" fillId="6" borderId="0" xfId="7" applyNumberFormat="1" applyFont="1" applyFill="1" applyAlignment="1">
      <alignment horizontal="right"/>
    </xf>
    <xf numFmtId="170" fontId="22" fillId="6" borderId="1" xfId="7" applyNumberFormat="1" applyFont="1" applyFill="1" applyBorder="1"/>
    <xf numFmtId="170" fontId="22" fillId="6" borderId="0" xfId="7" applyNumberFormat="1" applyFont="1" applyFill="1" applyBorder="1"/>
    <xf numFmtId="0" fontId="19" fillId="7" borderId="0" xfId="6" applyFont="1" applyFill="1" applyAlignment="1">
      <alignment horizontal="left"/>
    </xf>
    <xf numFmtId="43" fontId="19" fillId="6" borderId="0" xfId="4" applyFont="1" applyFill="1"/>
    <xf numFmtId="43" fontId="19" fillId="6" borderId="0" xfId="6" applyNumberFormat="1" applyFont="1" applyFill="1"/>
    <xf numFmtId="0" fontId="3" fillId="2" borderId="1" xfId="0" applyFont="1" applyFill="1" applyBorder="1" applyAlignment="1">
      <alignment horizontal="right"/>
    </xf>
    <xf numFmtId="164" fontId="3" fillId="2" borderId="6" xfId="0" applyNumberFormat="1" applyFont="1" applyFill="1" applyBorder="1" applyAlignment="1">
      <alignment horizontal="right"/>
    </xf>
    <xf numFmtId="0" fontId="7" fillId="0" borderId="0" xfId="0" applyFont="1" applyAlignment="1">
      <alignment horizontal="left"/>
    </xf>
    <xf numFmtId="0" fontId="10" fillId="5" borderId="7" xfId="0" applyFont="1" applyFill="1" applyBorder="1" applyAlignment="1">
      <alignment horizontal="center" vertical="center"/>
    </xf>
    <xf numFmtId="0" fontId="10" fillId="5" borderId="8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0" fillId="0" borderId="0" xfId="0" applyFill="1"/>
    <xf numFmtId="0" fontId="3" fillId="0" borderId="0" xfId="0" applyFont="1" applyFill="1" applyAlignment="1">
      <alignment horizontal="right"/>
    </xf>
    <xf numFmtId="0" fontId="3" fillId="0" borderId="1" xfId="0" applyFont="1" applyFill="1" applyBorder="1" applyAlignment="1">
      <alignment horizontal="right"/>
    </xf>
    <xf numFmtId="0" fontId="4" fillId="0" borderId="2" xfId="0" applyFont="1" applyFill="1" applyBorder="1" applyAlignment="1">
      <alignment horizontal="right"/>
    </xf>
    <xf numFmtId="164" fontId="3" fillId="0" borderId="3" xfId="0" applyNumberFormat="1" applyFont="1" applyFill="1" applyBorder="1" applyAlignment="1">
      <alignment horizontal="right"/>
    </xf>
    <xf numFmtId="0" fontId="3" fillId="0" borderId="4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164" fontId="3" fillId="0" borderId="0" xfId="0" applyNumberFormat="1" applyFont="1" applyFill="1" applyAlignment="1">
      <alignment horizontal="right"/>
    </xf>
    <xf numFmtId="164" fontId="3" fillId="0" borderId="5" xfId="0" applyNumberFormat="1" applyFont="1" applyFill="1" applyBorder="1" applyAlignment="1">
      <alignment horizontal="right"/>
    </xf>
    <xf numFmtId="0" fontId="3" fillId="0" borderId="2" xfId="0" applyFont="1" applyFill="1" applyBorder="1" applyAlignment="1">
      <alignment horizontal="left"/>
    </xf>
    <xf numFmtId="164" fontId="3" fillId="0" borderId="6" xfId="0" applyNumberFormat="1" applyFont="1" applyFill="1" applyBorder="1" applyAlignment="1">
      <alignment horizontal="right"/>
    </xf>
    <xf numFmtId="14" fontId="3" fillId="0" borderId="1" xfId="0" applyNumberFormat="1" applyFont="1" applyFill="1" applyBorder="1" applyAlignment="1">
      <alignment horizontal="right"/>
    </xf>
  </cellXfs>
  <cellStyles count="11">
    <cellStyle name="Comma" xfId="4" xr:uid="{00000000-0005-0000-0000-000004000000}"/>
    <cellStyle name="Comma [0]" xfId="5" xr:uid="{00000000-0005-0000-0000-000005000000}"/>
    <cellStyle name="Comma 2" xfId="8" xr:uid="{1EBABE4A-8253-40D6-9925-9B6B99A88CAE}"/>
    <cellStyle name="Currency" xfId="2" xr:uid="{00000000-0005-0000-0000-000002000000}"/>
    <cellStyle name="Currency [0]" xfId="3" xr:uid="{00000000-0005-0000-0000-000003000000}"/>
    <cellStyle name="Currency 2" xfId="7" xr:uid="{28AB30E4-7CC2-46A4-BBDF-704F812CB46C}"/>
    <cellStyle name="Hyperlink" xfId="10" builtinId="8"/>
    <cellStyle name="Normal" xfId="0" builtinId="0"/>
    <cellStyle name="Normal 2" xfId="6" xr:uid="{3295D47F-14F4-48AD-93AD-4C3B4F9FD51B}"/>
    <cellStyle name="Percent" xfId="1" xr:uid="{00000000-0005-0000-0000-000001000000}"/>
    <cellStyle name="Percent 2" xfId="9" xr:uid="{26857ED8-A8F9-4C5A-A9B9-18557B27E1F3}"/>
  </cellStyles>
  <dxfs count="4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417867-81F5-4997-90C2-16C1B7ADF6BD}">
  <dimension ref="A1:D6"/>
  <sheetViews>
    <sheetView workbookViewId="0">
      <selection activeCell="I21" sqref="I21"/>
    </sheetView>
  </sheetViews>
  <sheetFormatPr defaultRowHeight="13.15" x14ac:dyDescent="0.4"/>
  <cols>
    <col min="1" max="1" width="8.73046875" style="105"/>
    <col min="2" max="2" width="17.86328125" hidden="1" customWidth="1"/>
    <col min="3" max="3" width="25.73046875" style="104" bestFit="1" customWidth="1"/>
  </cols>
  <sheetData>
    <row r="1" spans="1:4" x14ac:dyDescent="0.4">
      <c r="A1" s="130" t="s">
        <v>0</v>
      </c>
      <c r="B1" s="130"/>
      <c r="C1" s="130"/>
      <c r="D1" s="130"/>
    </row>
    <row r="2" spans="1:4" x14ac:dyDescent="0.4">
      <c r="A2" s="105" t="s">
        <v>1</v>
      </c>
      <c r="B2" s="106"/>
      <c r="C2" s="108" t="s">
        <v>2</v>
      </c>
      <c r="D2" s="106" t="s">
        <v>3</v>
      </c>
    </row>
    <row r="3" spans="1:4" ht="25.9" x14ac:dyDescent="0.4">
      <c r="A3" s="107">
        <v>1</v>
      </c>
      <c r="B3" t="s">
        <v>4</v>
      </c>
      <c r="C3" s="104" t="s">
        <v>5</v>
      </c>
      <c r="D3" t="s">
        <v>6</v>
      </c>
    </row>
    <row r="4" spans="1:4" ht="25.9" x14ac:dyDescent="0.4">
      <c r="A4" s="107">
        <v>1.1000000000000001</v>
      </c>
      <c r="B4" t="s">
        <v>7</v>
      </c>
      <c r="C4" s="104" t="s">
        <v>8</v>
      </c>
      <c r="D4" t="s">
        <v>6</v>
      </c>
    </row>
    <row r="5" spans="1:4" hidden="1" x14ac:dyDescent="0.4">
      <c r="A5" s="107">
        <v>2</v>
      </c>
      <c r="B5" t="s">
        <v>9</v>
      </c>
      <c r="C5" s="104" t="s">
        <v>10</v>
      </c>
      <c r="D5" t="s">
        <v>6</v>
      </c>
    </row>
    <row r="6" spans="1:4" ht="38.65" x14ac:dyDescent="0.4">
      <c r="A6" s="107">
        <v>1.2</v>
      </c>
      <c r="B6" t="s">
        <v>11</v>
      </c>
      <c r="C6" s="104" t="s">
        <v>12</v>
      </c>
      <c r="D6" t="s">
        <v>6</v>
      </c>
    </row>
  </sheetData>
  <mergeCells count="1">
    <mergeCell ref="A1:D1"/>
  </mergeCells>
  <phoneticPr fontId="28" type="noConversion"/>
  <hyperlinks>
    <hyperlink ref="A3" location="'1.0 TCA- Budget HL'!A1" display="'1.0 TCA- Budget HL'!A1" xr:uid="{E0A98148-A31C-4EA5-A021-225017A2F853}"/>
    <hyperlink ref="A4" location="'1.1 Budget Projections'!A1" display="'1.1 Budget Projections'!A1" xr:uid="{6C715542-A425-41D3-9562-99F123FA05AE}"/>
    <hyperlink ref="A5" location="'2.0 Budget Report - Detail'!A1" display="'2.0 Budget Report - Detail'!A1" xr:uid="{1F01D9CA-78D4-421A-9014-104D6B7355AD}"/>
    <hyperlink ref="A6" location="'3.0 County Report'!A1" display="'3.0 County Report'!A1" xr:uid="{18C517C9-4C4F-4CDD-946C-6A6AFB3DB09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DD3156-95FF-40CC-A3BD-D2898519F703}">
  <sheetPr>
    <tabColor rgb="FF92D050"/>
    <pageSetUpPr fitToPage="1"/>
  </sheetPr>
  <dimension ref="A2:O94"/>
  <sheetViews>
    <sheetView zoomScale="110" zoomScaleNormal="110" workbookViewId="0">
      <selection activeCell="G8" sqref="G8"/>
    </sheetView>
  </sheetViews>
  <sheetFormatPr defaultColWidth="12.59765625" defaultRowHeight="15" x14ac:dyDescent="0.4"/>
  <cols>
    <col min="1" max="3" width="4" style="44" customWidth="1"/>
    <col min="4" max="4" width="35.3984375" style="44" bestFit="1" customWidth="1"/>
    <col min="5" max="5" width="12.3984375" style="44" hidden="1" customWidth="1"/>
    <col min="6" max="6" width="22.3984375" style="44" hidden="1" customWidth="1"/>
    <col min="7" max="7" width="16" style="44" bestFit="1" customWidth="1"/>
    <col min="8" max="8" width="16.73046875" style="70" bestFit="1" customWidth="1"/>
    <col min="9" max="9" width="13.86328125" style="46" bestFit="1" customWidth="1"/>
    <col min="10" max="10" width="9.73046875" style="44" customWidth="1"/>
    <col min="11" max="11" width="25.86328125" style="71" customWidth="1"/>
    <col min="12" max="12" width="42.86328125" style="44" hidden="1" customWidth="1"/>
    <col min="13" max="13" width="12.59765625" style="44" bestFit="1" customWidth="1"/>
    <col min="14" max="15" width="13.265625" style="44" bestFit="1" customWidth="1"/>
    <col min="16" max="16384" width="12.59765625" style="44"/>
  </cols>
  <sheetData>
    <row r="2" spans="1:14" s="47" customFormat="1" x14ac:dyDescent="0.4">
      <c r="A2" s="47" t="s">
        <v>13</v>
      </c>
      <c r="H2" s="66"/>
      <c r="I2" s="67"/>
      <c r="K2" s="68"/>
    </row>
    <row r="5" spans="1:14" x14ac:dyDescent="0.4">
      <c r="A5" s="69" t="s">
        <v>14</v>
      </c>
    </row>
    <row r="6" spans="1:14" x14ac:dyDescent="0.4">
      <c r="G6" s="120" t="s">
        <v>15</v>
      </c>
      <c r="H6" s="121" t="s">
        <v>16</v>
      </c>
    </row>
    <row r="7" spans="1:14" x14ac:dyDescent="0.4">
      <c r="D7" s="119" t="s">
        <v>17</v>
      </c>
      <c r="F7" s="71"/>
      <c r="G7" s="123">
        <v>3000000</v>
      </c>
      <c r="H7" s="123">
        <v>4000000</v>
      </c>
      <c r="K7" s="44"/>
    </row>
    <row r="8" spans="1:14" x14ac:dyDescent="0.4">
      <c r="D8" s="125" t="s">
        <v>18</v>
      </c>
      <c r="F8" s="71"/>
      <c r="G8" s="123">
        <v>6000</v>
      </c>
      <c r="H8" s="123"/>
      <c r="K8" s="44"/>
    </row>
    <row r="9" spans="1:14" x14ac:dyDescent="0.4">
      <c r="D9" s="119" t="s">
        <v>19</v>
      </c>
      <c r="F9" s="71"/>
      <c r="G9" s="123">
        <v>1128853</v>
      </c>
      <c r="H9" s="123">
        <f>G91</f>
        <v>138703</v>
      </c>
      <c r="K9" s="44"/>
    </row>
    <row r="10" spans="1:14" x14ac:dyDescent="0.4">
      <c r="D10" s="119"/>
      <c r="F10" s="71"/>
      <c r="G10" s="124"/>
      <c r="H10" s="124"/>
      <c r="K10" s="44"/>
    </row>
    <row r="11" spans="1:14" x14ac:dyDescent="0.4">
      <c r="D11" s="118" t="s">
        <v>20</v>
      </c>
      <c r="F11" s="71"/>
      <c r="G11" s="122">
        <f>SUM(G7:G9)</f>
        <v>4134853</v>
      </c>
      <c r="H11" s="122">
        <f>SUM(H7:H9)</f>
        <v>4138703</v>
      </c>
      <c r="K11" s="44"/>
    </row>
    <row r="12" spans="1:14" x14ac:dyDescent="0.4">
      <c r="F12" s="71"/>
      <c r="G12" s="71"/>
      <c r="J12" s="47"/>
      <c r="K12" s="68"/>
      <c r="N12" s="109"/>
    </row>
    <row r="13" spans="1:14" x14ac:dyDescent="0.4">
      <c r="A13" s="69" t="s">
        <v>21</v>
      </c>
      <c r="F13" s="71"/>
      <c r="G13" s="71"/>
      <c r="J13" s="47"/>
      <c r="K13" s="68"/>
    </row>
    <row r="15" spans="1:14" x14ac:dyDescent="0.4">
      <c r="B15" s="69" t="s">
        <v>22</v>
      </c>
    </row>
    <row r="16" spans="1:14" x14ac:dyDescent="0.4">
      <c r="C16" s="47" t="s">
        <v>23</v>
      </c>
      <c r="G16" s="49" t="s">
        <v>24</v>
      </c>
      <c r="H16" s="74" t="s">
        <v>25</v>
      </c>
      <c r="I16" s="75" t="s">
        <v>26</v>
      </c>
      <c r="L16" s="47" t="s">
        <v>27</v>
      </c>
    </row>
    <row r="17" spans="2:15" x14ac:dyDescent="0.4">
      <c r="D17" s="50" t="s">
        <v>28</v>
      </c>
      <c r="G17" s="76">
        <v>150000</v>
      </c>
      <c r="H17" s="77">
        <v>150000</v>
      </c>
      <c r="I17" s="113">
        <f>H17-G17</f>
        <v>0</v>
      </c>
      <c r="J17" s="51"/>
      <c r="K17" s="78"/>
      <c r="L17" s="51" t="s">
        <v>29</v>
      </c>
    </row>
    <row r="18" spans="2:15" x14ac:dyDescent="0.4">
      <c r="D18" s="50" t="s">
        <v>30</v>
      </c>
      <c r="G18" s="113">
        <v>90000</v>
      </c>
      <c r="H18" s="70">
        <v>90000</v>
      </c>
      <c r="I18" s="113">
        <f t="shared" ref="I18:I22" si="0">H18-G18</f>
        <v>0</v>
      </c>
    </row>
    <row r="19" spans="2:15" x14ac:dyDescent="0.4">
      <c r="D19" s="50" t="s">
        <v>31</v>
      </c>
      <c r="G19" s="114">
        <v>75000</v>
      </c>
      <c r="H19" s="70">
        <v>75000</v>
      </c>
      <c r="I19" s="113">
        <f t="shared" si="0"/>
        <v>0</v>
      </c>
      <c r="L19" s="44" t="s">
        <v>32</v>
      </c>
    </row>
    <row r="20" spans="2:15" x14ac:dyDescent="0.4">
      <c r="D20" s="50" t="s">
        <v>33</v>
      </c>
      <c r="G20" s="114">
        <v>70000</v>
      </c>
      <c r="H20" s="70">
        <v>0</v>
      </c>
      <c r="I20" s="87">
        <f t="shared" si="0"/>
        <v>-70000</v>
      </c>
      <c r="L20" s="81"/>
    </row>
    <row r="21" spans="2:15" x14ac:dyDescent="0.4">
      <c r="D21" s="53"/>
      <c r="F21" s="51"/>
      <c r="G21" s="63">
        <v>385000</v>
      </c>
      <c r="H21" s="82">
        <f>SUM(H17:H20)</f>
        <v>315000</v>
      </c>
      <c r="I21" s="83">
        <f t="shared" si="0"/>
        <v>-70000</v>
      </c>
      <c r="K21" s="71">
        <f>H21</f>
        <v>315000</v>
      </c>
      <c r="L21" s="81"/>
    </row>
    <row r="22" spans="2:15" x14ac:dyDescent="0.4">
      <c r="D22" s="53" t="s">
        <v>34</v>
      </c>
      <c r="G22" s="64">
        <v>127050</v>
      </c>
      <c r="H22" s="115">
        <v>103950</v>
      </c>
      <c r="I22" s="79">
        <f t="shared" si="0"/>
        <v>-23100</v>
      </c>
      <c r="K22" s="71">
        <f>H22</f>
        <v>103950</v>
      </c>
      <c r="L22" s="81"/>
    </row>
    <row r="23" spans="2:15" x14ac:dyDescent="0.4">
      <c r="C23" s="47" t="s">
        <v>35</v>
      </c>
      <c r="I23" s="113"/>
      <c r="L23" s="81"/>
    </row>
    <row r="24" spans="2:15" x14ac:dyDescent="0.4">
      <c r="D24" s="44" t="s">
        <v>36</v>
      </c>
      <c r="G24" s="114">
        <v>90000</v>
      </c>
      <c r="H24" s="70">
        <v>90000</v>
      </c>
      <c r="I24" s="113">
        <v>0</v>
      </c>
      <c r="L24" s="81" t="s">
        <v>37</v>
      </c>
    </row>
    <row r="25" spans="2:15" ht="30" x14ac:dyDescent="0.4">
      <c r="D25" s="44" t="s">
        <v>38</v>
      </c>
      <c r="G25" s="114">
        <v>90000</v>
      </c>
      <c r="H25" s="70">
        <v>90000</v>
      </c>
      <c r="I25" s="113">
        <v>0</v>
      </c>
      <c r="L25" s="81" t="s">
        <v>39</v>
      </c>
    </row>
    <row r="26" spans="2:15" ht="30" x14ac:dyDescent="0.4">
      <c r="D26" s="44" t="s">
        <v>40</v>
      </c>
      <c r="G26" s="114">
        <v>70000</v>
      </c>
      <c r="H26" s="70">
        <v>69999.960000000006</v>
      </c>
      <c r="I26" s="113">
        <v>0</v>
      </c>
      <c r="L26" s="81" t="s">
        <v>41</v>
      </c>
    </row>
    <row r="27" spans="2:15" x14ac:dyDescent="0.4">
      <c r="D27" s="44" t="s">
        <v>42</v>
      </c>
      <c r="G27" s="114">
        <v>75000</v>
      </c>
      <c r="H27" s="70">
        <v>75000</v>
      </c>
      <c r="I27" s="113">
        <v>0</v>
      </c>
      <c r="L27" s="81"/>
    </row>
    <row r="28" spans="2:15" x14ac:dyDescent="0.4">
      <c r="D28" s="44" t="s">
        <v>43</v>
      </c>
      <c r="G28" s="114">
        <v>60000</v>
      </c>
      <c r="H28" s="70">
        <v>60000</v>
      </c>
      <c r="I28" s="113">
        <v>0</v>
      </c>
      <c r="L28" s="81"/>
    </row>
    <row r="29" spans="2:15" x14ac:dyDescent="0.4">
      <c r="F29" s="51"/>
      <c r="G29" s="63">
        <v>385000</v>
      </c>
      <c r="H29" s="82">
        <v>384999.96</v>
      </c>
      <c r="I29" s="82">
        <f>SUM(I24:I28)</f>
        <v>0</v>
      </c>
      <c r="K29" s="71">
        <v>384999.96</v>
      </c>
      <c r="L29" s="81"/>
      <c r="O29" s="110"/>
    </row>
    <row r="30" spans="2:15" x14ac:dyDescent="0.4">
      <c r="I30" s="113"/>
      <c r="J30" s="47" t="s">
        <v>44</v>
      </c>
      <c r="K30" s="54">
        <f>K29+K21+K22</f>
        <v>803949.96</v>
      </c>
      <c r="L30" s="81"/>
      <c r="O30" s="110"/>
    </row>
    <row r="31" spans="2:15" x14ac:dyDescent="0.4">
      <c r="B31" s="69" t="s">
        <v>45</v>
      </c>
      <c r="I31" s="113"/>
      <c r="L31" s="81"/>
    </row>
    <row r="32" spans="2:15" x14ac:dyDescent="0.4">
      <c r="C32" s="47" t="s">
        <v>23</v>
      </c>
      <c r="I32" s="113"/>
      <c r="L32" s="81"/>
    </row>
    <row r="33" spans="2:13" x14ac:dyDescent="0.4">
      <c r="D33" s="44" t="s">
        <v>46</v>
      </c>
      <c r="G33" s="114">
        <v>175000</v>
      </c>
      <c r="H33" s="70">
        <v>175000.00000000003</v>
      </c>
      <c r="I33" s="79">
        <f t="shared" ref="I33:I36" si="1">H33-G33</f>
        <v>0</v>
      </c>
      <c r="L33" s="81"/>
    </row>
    <row r="34" spans="2:13" ht="30" x14ac:dyDescent="0.4">
      <c r="D34" s="44" t="s">
        <v>47</v>
      </c>
      <c r="G34" s="114">
        <v>90000</v>
      </c>
      <c r="H34" s="70">
        <v>90000</v>
      </c>
      <c r="I34" s="79">
        <f t="shared" si="1"/>
        <v>0</v>
      </c>
      <c r="L34" s="81" t="s">
        <v>48</v>
      </c>
    </row>
    <row r="35" spans="2:13" ht="45" x14ac:dyDescent="0.4">
      <c r="D35" s="55" t="s">
        <v>49</v>
      </c>
      <c r="G35" s="114">
        <v>90000</v>
      </c>
      <c r="H35" s="70">
        <v>70000</v>
      </c>
      <c r="I35" s="79">
        <f t="shared" si="1"/>
        <v>-20000</v>
      </c>
      <c r="L35" s="81" t="s">
        <v>50</v>
      </c>
    </row>
    <row r="36" spans="2:13" x14ac:dyDescent="0.4">
      <c r="G36" s="114"/>
      <c r="I36" s="79">
        <f t="shared" si="1"/>
        <v>0</v>
      </c>
      <c r="L36" s="84"/>
      <c r="M36" s="56"/>
    </row>
    <row r="37" spans="2:13" x14ac:dyDescent="0.4">
      <c r="F37" s="51"/>
      <c r="G37" s="63">
        <v>355000</v>
      </c>
      <c r="H37" s="82">
        <f>SUM(H33:H36)</f>
        <v>335000</v>
      </c>
      <c r="I37" s="82">
        <f>H37-G37</f>
        <v>-20000</v>
      </c>
      <c r="K37" s="71">
        <f>H37</f>
        <v>335000</v>
      </c>
      <c r="L37" s="81"/>
    </row>
    <row r="38" spans="2:13" x14ac:dyDescent="0.4">
      <c r="D38" s="53" t="s">
        <v>34</v>
      </c>
      <c r="G38" s="64">
        <v>117150</v>
      </c>
      <c r="H38" s="115">
        <v>110550</v>
      </c>
      <c r="I38" s="115">
        <f>H38-G38</f>
        <v>-6600</v>
      </c>
      <c r="K38" s="71">
        <f>H38</f>
        <v>110550</v>
      </c>
      <c r="L38" s="85">
        <v>87450</v>
      </c>
    </row>
    <row r="39" spans="2:13" x14ac:dyDescent="0.4">
      <c r="C39" s="47" t="s">
        <v>35</v>
      </c>
      <c r="G39" s="64"/>
      <c r="H39" s="115"/>
      <c r="I39" s="115"/>
      <c r="L39" s="81"/>
    </row>
    <row r="40" spans="2:13" ht="45" x14ac:dyDescent="0.4">
      <c r="D40" s="44" t="s">
        <v>51</v>
      </c>
      <c r="G40" s="44">
        <v>180000</v>
      </c>
      <c r="H40" s="70">
        <v>0</v>
      </c>
      <c r="I40" s="113">
        <v>0</v>
      </c>
      <c r="L40" s="81" t="s">
        <v>52</v>
      </c>
    </row>
    <row r="41" spans="2:13" x14ac:dyDescent="0.4">
      <c r="D41" s="44" t="s">
        <v>53</v>
      </c>
      <c r="G41" s="44">
        <v>20000</v>
      </c>
      <c r="H41" s="70">
        <v>20000</v>
      </c>
      <c r="I41" s="113">
        <v>0</v>
      </c>
      <c r="L41" s="81" t="s">
        <v>54</v>
      </c>
    </row>
    <row r="42" spans="2:13" x14ac:dyDescent="0.4">
      <c r="D42" s="44" t="s">
        <v>55</v>
      </c>
      <c r="G42" s="44">
        <v>20000</v>
      </c>
      <c r="H42" s="70">
        <v>20000</v>
      </c>
      <c r="I42" s="113">
        <v>0</v>
      </c>
      <c r="L42" s="81"/>
    </row>
    <row r="43" spans="2:13" x14ac:dyDescent="0.4">
      <c r="F43" s="51"/>
      <c r="G43" s="57">
        <v>220000</v>
      </c>
      <c r="H43" s="77">
        <f>SUM(H40:H42)</f>
        <v>40000</v>
      </c>
      <c r="I43" s="76">
        <f>H43-G43</f>
        <v>-180000</v>
      </c>
      <c r="K43" s="71">
        <f>H43</f>
        <v>40000</v>
      </c>
      <c r="L43" s="81"/>
    </row>
    <row r="44" spans="2:13" x14ac:dyDescent="0.4">
      <c r="I44" s="113"/>
      <c r="J44" s="47" t="s">
        <v>44</v>
      </c>
      <c r="K44" s="54">
        <f>K43+K38+K37</f>
        <v>485550</v>
      </c>
      <c r="L44" s="81"/>
    </row>
    <row r="45" spans="2:13" x14ac:dyDescent="0.4">
      <c r="B45" s="69" t="s">
        <v>56</v>
      </c>
      <c r="I45" s="113"/>
      <c r="L45" s="81"/>
    </row>
    <row r="46" spans="2:13" x14ac:dyDescent="0.4">
      <c r="C46" s="47" t="s">
        <v>23</v>
      </c>
      <c r="I46" s="113"/>
      <c r="L46" s="81"/>
    </row>
    <row r="47" spans="2:13" ht="30" x14ac:dyDescent="0.4">
      <c r="D47" s="44" t="s">
        <v>28</v>
      </c>
      <c r="G47" s="44">
        <v>140000</v>
      </c>
      <c r="H47" s="70">
        <v>140000</v>
      </c>
      <c r="I47" s="113">
        <f>H47-G47</f>
        <v>0</v>
      </c>
      <c r="L47" s="81" t="s">
        <v>57</v>
      </c>
    </row>
    <row r="48" spans="2:13" x14ac:dyDescent="0.4">
      <c r="D48" s="44" t="s">
        <v>58</v>
      </c>
      <c r="G48" s="44">
        <v>90000</v>
      </c>
      <c r="H48" s="70">
        <v>75000</v>
      </c>
      <c r="I48" s="113">
        <f>H48-G48</f>
        <v>-15000</v>
      </c>
      <c r="L48" s="81" t="s">
        <v>59</v>
      </c>
    </row>
    <row r="49" spans="2:12" x14ac:dyDescent="0.4">
      <c r="F49" s="51"/>
      <c r="G49" s="63">
        <v>230000</v>
      </c>
      <c r="H49" s="82">
        <f>SUM(H47:H48)</f>
        <v>215000</v>
      </c>
      <c r="I49" s="82">
        <f>H49-G49</f>
        <v>-15000</v>
      </c>
      <c r="K49" s="71">
        <f>H49</f>
        <v>215000</v>
      </c>
      <c r="L49" s="81"/>
    </row>
    <row r="50" spans="2:12" x14ac:dyDescent="0.4">
      <c r="D50" s="53" t="s">
        <v>34</v>
      </c>
      <c r="G50" s="64">
        <v>75900</v>
      </c>
      <c r="H50" s="115">
        <v>70950</v>
      </c>
      <c r="I50" s="82">
        <f>H50-G50</f>
        <v>-4950</v>
      </c>
      <c r="K50" s="71">
        <f>H50</f>
        <v>70950</v>
      </c>
      <c r="L50" s="86" t="s">
        <v>60</v>
      </c>
    </row>
    <row r="51" spans="2:12" x14ac:dyDescent="0.4">
      <c r="C51" s="47" t="s">
        <v>35</v>
      </c>
      <c r="I51" s="113"/>
      <c r="L51" s="81"/>
    </row>
    <row r="52" spans="2:12" x14ac:dyDescent="0.4">
      <c r="D52" s="44" t="s">
        <v>61</v>
      </c>
      <c r="G52" s="44">
        <v>125000</v>
      </c>
      <c r="H52" s="70">
        <v>124999.92000000003</v>
      </c>
      <c r="I52" s="113">
        <f>H52-G52</f>
        <v>-7.9999999972642399E-2</v>
      </c>
      <c r="L52" s="81"/>
    </row>
    <row r="53" spans="2:12" x14ac:dyDescent="0.4">
      <c r="D53" s="44" t="s">
        <v>62</v>
      </c>
      <c r="G53" s="44">
        <v>125000</v>
      </c>
      <c r="H53" s="70">
        <v>124999.92000000003</v>
      </c>
      <c r="I53" s="113">
        <f t="shared" ref="I53:I55" si="2">H53-G53</f>
        <v>-7.9999999972642399E-2</v>
      </c>
      <c r="L53" s="81"/>
    </row>
    <row r="54" spans="2:12" x14ac:dyDescent="0.4">
      <c r="D54" s="44" t="s">
        <v>63</v>
      </c>
      <c r="G54" s="44">
        <v>75000</v>
      </c>
      <c r="H54" s="70">
        <v>75000</v>
      </c>
      <c r="I54" s="113">
        <f t="shared" si="2"/>
        <v>0</v>
      </c>
      <c r="L54" s="81"/>
    </row>
    <row r="55" spans="2:12" x14ac:dyDescent="0.4">
      <c r="D55" s="44" t="s">
        <v>64</v>
      </c>
      <c r="G55" s="44">
        <v>180000</v>
      </c>
      <c r="H55" s="70">
        <v>180000</v>
      </c>
      <c r="I55" s="113">
        <f t="shared" si="2"/>
        <v>0</v>
      </c>
      <c r="L55" s="81" t="s">
        <v>65</v>
      </c>
    </row>
    <row r="56" spans="2:12" x14ac:dyDescent="0.4">
      <c r="F56" s="51"/>
      <c r="G56" s="63">
        <v>505000</v>
      </c>
      <c r="H56" s="82">
        <v>504999.84000000008</v>
      </c>
      <c r="I56" s="82">
        <v>103159.06167999993</v>
      </c>
      <c r="K56" s="71">
        <f>H56</f>
        <v>504999.84000000008</v>
      </c>
      <c r="L56" s="81"/>
    </row>
    <row r="57" spans="2:12" x14ac:dyDescent="0.4">
      <c r="I57" s="113"/>
      <c r="J57" s="47" t="s">
        <v>44</v>
      </c>
      <c r="K57" s="54">
        <f>K56+K50+K49</f>
        <v>790949.84000000008</v>
      </c>
      <c r="L57" s="81"/>
    </row>
    <row r="58" spans="2:12" x14ac:dyDescent="0.4">
      <c r="B58" s="69" t="s">
        <v>66</v>
      </c>
      <c r="I58" s="113"/>
      <c r="L58" s="81"/>
    </row>
    <row r="59" spans="2:12" x14ac:dyDescent="0.4">
      <c r="C59" s="47" t="s">
        <v>23</v>
      </c>
      <c r="I59" s="113"/>
      <c r="L59" s="81"/>
    </row>
    <row r="60" spans="2:12" ht="30" x14ac:dyDescent="0.4">
      <c r="D60" s="44" t="s">
        <v>67</v>
      </c>
      <c r="G60" s="44">
        <v>150000</v>
      </c>
      <c r="H60" s="70">
        <v>150000</v>
      </c>
      <c r="I60" s="113">
        <f>H60-G60</f>
        <v>0</v>
      </c>
      <c r="L60" s="81" t="s">
        <v>68</v>
      </c>
    </row>
    <row r="61" spans="2:12" x14ac:dyDescent="0.4">
      <c r="D61" s="44" t="s">
        <v>69</v>
      </c>
      <c r="G61" s="44">
        <v>90000</v>
      </c>
      <c r="H61" s="70">
        <v>90000</v>
      </c>
      <c r="I61" s="87">
        <f>H61-G61</f>
        <v>0</v>
      </c>
      <c r="L61" s="81" t="s">
        <v>70</v>
      </c>
    </row>
    <row r="62" spans="2:12" x14ac:dyDescent="0.4">
      <c r="F62" s="51"/>
      <c r="G62" s="63">
        <v>240000</v>
      </c>
      <c r="H62" s="82">
        <f>SUM(H60:H61)</f>
        <v>240000</v>
      </c>
      <c r="I62" s="113">
        <f t="shared" ref="I62:I63" si="3">H62-G62</f>
        <v>0</v>
      </c>
      <c r="K62" s="71">
        <f>H62</f>
        <v>240000</v>
      </c>
      <c r="L62" s="81"/>
    </row>
    <row r="63" spans="2:12" x14ac:dyDescent="0.4">
      <c r="D63" s="44" t="s">
        <v>71</v>
      </c>
      <c r="G63" s="64">
        <v>79200</v>
      </c>
      <c r="H63" s="115">
        <v>79200</v>
      </c>
      <c r="I63" s="113">
        <f t="shared" si="3"/>
        <v>0</v>
      </c>
      <c r="K63" s="71">
        <f>H63</f>
        <v>79200</v>
      </c>
      <c r="L63" s="81"/>
    </row>
    <row r="64" spans="2:12" x14ac:dyDescent="0.4">
      <c r="C64" s="47" t="s">
        <v>35</v>
      </c>
      <c r="I64" s="113"/>
      <c r="L64" s="81"/>
    </row>
    <row r="65" spans="2:12" x14ac:dyDescent="0.4">
      <c r="D65" s="44" t="s">
        <v>72</v>
      </c>
      <c r="G65" s="44">
        <v>80000</v>
      </c>
      <c r="H65" s="70">
        <v>80000</v>
      </c>
      <c r="I65" s="113">
        <v>0</v>
      </c>
      <c r="L65" s="81"/>
    </row>
    <row r="66" spans="2:12" x14ac:dyDescent="0.4">
      <c r="D66" s="44" t="s">
        <v>73</v>
      </c>
      <c r="G66" s="44">
        <v>85000</v>
      </c>
      <c r="H66" s="70">
        <v>84999.96</v>
      </c>
      <c r="I66" s="113">
        <v>3.9999999993597157E-2</v>
      </c>
      <c r="L66" s="81"/>
    </row>
    <row r="67" spans="2:12" x14ac:dyDescent="0.4">
      <c r="D67" s="44" t="s">
        <v>74</v>
      </c>
      <c r="H67" s="70">
        <v>180000</v>
      </c>
      <c r="I67" s="113">
        <v>0</v>
      </c>
      <c r="L67" s="81"/>
    </row>
    <row r="68" spans="2:12" x14ac:dyDescent="0.4">
      <c r="F68" s="51"/>
      <c r="G68" s="63">
        <v>165000</v>
      </c>
      <c r="H68" s="82">
        <f>SUM(H65:H67)</f>
        <v>344999.96</v>
      </c>
      <c r="I68" s="82">
        <v>82285.539999999994</v>
      </c>
      <c r="K68" s="71">
        <f>H68</f>
        <v>344999.96</v>
      </c>
      <c r="L68" s="81"/>
    </row>
    <row r="69" spans="2:12" x14ac:dyDescent="0.4">
      <c r="I69" s="113"/>
      <c r="J69" s="47" t="s">
        <v>44</v>
      </c>
      <c r="K69" s="54">
        <f>K68+K62+K63</f>
        <v>664199.96</v>
      </c>
      <c r="L69" s="81"/>
    </row>
    <row r="70" spans="2:12" x14ac:dyDescent="0.4">
      <c r="B70" s="69" t="s">
        <v>75</v>
      </c>
      <c r="I70" s="113"/>
      <c r="L70" s="81"/>
    </row>
    <row r="71" spans="2:12" x14ac:dyDescent="0.4">
      <c r="C71" s="47" t="s">
        <v>23</v>
      </c>
      <c r="I71" s="113"/>
      <c r="L71" s="81"/>
    </row>
    <row r="72" spans="2:12" x14ac:dyDescent="0.4">
      <c r="D72" s="44" t="s">
        <v>76</v>
      </c>
      <c r="G72" s="44">
        <v>205000</v>
      </c>
      <c r="H72" s="70">
        <v>205000.00000000003</v>
      </c>
      <c r="I72" s="113">
        <f>H72-G72</f>
        <v>0</v>
      </c>
      <c r="L72" s="81"/>
    </row>
    <row r="73" spans="2:12" x14ac:dyDescent="0.4">
      <c r="D73" s="44" t="s">
        <v>77</v>
      </c>
      <c r="G73" s="44">
        <v>150000</v>
      </c>
      <c r="H73" s="70">
        <v>150000</v>
      </c>
      <c r="I73" s="113">
        <f>H73-G73</f>
        <v>0</v>
      </c>
      <c r="L73" s="81" t="s">
        <v>78</v>
      </c>
    </row>
    <row r="74" spans="2:12" x14ac:dyDescent="0.4">
      <c r="D74" s="44" t="s">
        <v>79</v>
      </c>
      <c r="G74" s="44">
        <v>90000</v>
      </c>
      <c r="H74" s="70">
        <v>90000</v>
      </c>
      <c r="I74" s="87">
        <f t="shared" ref="I74:I84" si="4">H74-G74</f>
        <v>0</v>
      </c>
      <c r="L74" s="81"/>
    </row>
    <row r="75" spans="2:12" x14ac:dyDescent="0.4">
      <c r="F75" s="51"/>
      <c r="G75" s="63">
        <v>445000</v>
      </c>
      <c r="H75" s="82">
        <f>SUM(H72:H74)</f>
        <v>445000</v>
      </c>
      <c r="I75" s="113">
        <f t="shared" si="4"/>
        <v>0</v>
      </c>
      <c r="K75" s="71">
        <f>H75</f>
        <v>445000</v>
      </c>
      <c r="L75" s="81"/>
    </row>
    <row r="76" spans="2:12" x14ac:dyDescent="0.4">
      <c r="D76" s="44" t="s">
        <v>34</v>
      </c>
      <c r="G76" s="64">
        <v>146850</v>
      </c>
      <c r="H76" s="115">
        <v>146850</v>
      </c>
      <c r="I76" s="113">
        <f t="shared" si="4"/>
        <v>0</v>
      </c>
      <c r="K76" s="71">
        <f>H76</f>
        <v>146850</v>
      </c>
      <c r="L76" s="81"/>
    </row>
    <row r="77" spans="2:12" x14ac:dyDescent="0.4">
      <c r="C77" s="47" t="s">
        <v>35</v>
      </c>
      <c r="I77" s="113">
        <f t="shared" si="4"/>
        <v>0</v>
      </c>
      <c r="L77" s="81"/>
    </row>
    <row r="78" spans="2:12" ht="45" x14ac:dyDescent="0.4">
      <c r="D78" s="44" t="s">
        <v>80</v>
      </c>
      <c r="G78" s="44">
        <v>100000</v>
      </c>
      <c r="H78" s="70">
        <v>200000</v>
      </c>
      <c r="I78" s="113">
        <f t="shared" si="4"/>
        <v>100000</v>
      </c>
      <c r="L78" s="81" t="s">
        <v>81</v>
      </c>
    </row>
    <row r="79" spans="2:12" x14ac:dyDescent="0.4">
      <c r="D79" s="44" t="s">
        <v>82</v>
      </c>
      <c r="G79" s="44">
        <v>70000</v>
      </c>
      <c r="H79" s="70">
        <v>69999.960000000006</v>
      </c>
      <c r="I79" s="113">
        <f t="shared" si="4"/>
        <v>-3.9999999993597157E-2</v>
      </c>
      <c r="L79" s="81"/>
    </row>
    <row r="80" spans="2:12" x14ac:dyDescent="0.4">
      <c r="D80" s="44" t="s">
        <v>83</v>
      </c>
      <c r="G80" s="44">
        <v>70000</v>
      </c>
      <c r="H80" s="70">
        <v>69999.960000000006</v>
      </c>
      <c r="I80" s="113">
        <f t="shared" si="4"/>
        <v>-3.9999999993597157E-2</v>
      </c>
      <c r="L80" s="81"/>
    </row>
    <row r="81" spans="4:12" x14ac:dyDescent="0.4">
      <c r="D81" s="44" t="s">
        <v>84</v>
      </c>
      <c r="G81" s="44">
        <v>40000</v>
      </c>
      <c r="H81" s="70">
        <v>39999.960000000014</v>
      </c>
      <c r="I81" s="113">
        <f t="shared" si="4"/>
        <v>-3.99999999863212E-2</v>
      </c>
      <c r="L81" s="81"/>
    </row>
    <row r="82" spans="4:12" x14ac:dyDescent="0.4">
      <c r="D82" s="44" t="s">
        <v>85</v>
      </c>
      <c r="G82" s="44">
        <v>70000</v>
      </c>
      <c r="H82" s="70">
        <v>69999.960000000006</v>
      </c>
      <c r="I82" s="113">
        <f t="shared" si="4"/>
        <v>-3.9999999993597157E-2</v>
      </c>
      <c r="L82" s="81"/>
    </row>
    <row r="83" spans="4:12" ht="30" x14ac:dyDescent="0.4">
      <c r="D83" s="44" t="s">
        <v>86</v>
      </c>
      <c r="G83" s="44">
        <v>50000</v>
      </c>
      <c r="H83" s="70">
        <v>50000</v>
      </c>
      <c r="I83" s="113">
        <f t="shared" si="4"/>
        <v>0</v>
      </c>
      <c r="L83" s="81" t="s">
        <v>87</v>
      </c>
    </row>
    <row r="84" spans="4:12" ht="30" x14ac:dyDescent="0.4">
      <c r="D84" s="44" t="s">
        <v>88</v>
      </c>
      <c r="G84" s="44">
        <v>120000</v>
      </c>
      <c r="H84" s="70">
        <v>120000</v>
      </c>
      <c r="I84" s="113">
        <f t="shared" si="4"/>
        <v>0</v>
      </c>
      <c r="L84" s="81" t="s">
        <v>89</v>
      </c>
    </row>
    <row r="85" spans="4:12" x14ac:dyDescent="0.4">
      <c r="F85" s="51"/>
      <c r="G85" s="63">
        <v>520000</v>
      </c>
      <c r="H85" s="82">
        <f>SUM(H78:H84)</f>
        <v>619999.84000000008</v>
      </c>
      <c r="I85" s="82">
        <f>H85-G85</f>
        <v>99999.840000000084</v>
      </c>
      <c r="K85" s="71">
        <f>H85</f>
        <v>619999.84000000008</v>
      </c>
      <c r="L85" s="81"/>
    </row>
    <row r="86" spans="4:12" x14ac:dyDescent="0.4">
      <c r="J86" s="47" t="s">
        <v>44</v>
      </c>
      <c r="K86" s="54">
        <f>K85+K76+K75</f>
        <v>1211849.8400000001</v>
      </c>
      <c r="L86" s="81"/>
    </row>
    <row r="88" spans="4:12" ht="15.4" x14ac:dyDescent="0.45">
      <c r="L88" s="88"/>
    </row>
    <row r="89" spans="4:12" s="47" customFormat="1" x14ac:dyDescent="0.4">
      <c r="D89" s="58" t="s">
        <v>90</v>
      </c>
      <c r="E89" s="59"/>
      <c r="F89" s="59"/>
      <c r="G89" s="62">
        <v>3996150</v>
      </c>
      <c r="H89" s="62">
        <f>H85+H76+H75+H68+H62+H63+H56+H50+H49+H43+H38+H37+H29+H22+H21</f>
        <v>3956499.6</v>
      </c>
      <c r="I89" s="62">
        <f>I85+I76+I75+I68+I62+I63+I56+I50+I49+I43+I38+I37+I29+I22+I21</f>
        <v>-34205.558320000011</v>
      </c>
      <c r="J89" s="59"/>
      <c r="K89" s="62">
        <f>K86+K69+K57+K44+K30</f>
        <v>3956499.6</v>
      </c>
      <c r="L89" s="90"/>
    </row>
    <row r="90" spans="4:12" ht="15.4" x14ac:dyDescent="0.45">
      <c r="L90" s="91"/>
    </row>
    <row r="91" spans="4:12" x14ac:dyDescent="0.4">
      <c r="D91" s="58" t="s">
        <v>91</v>
      </c>
      <c r="E91" s="59"/>
      <c r="F91" s="59"/>
      <c r="G91" s="117">
        <f>G11-G89</f>
        <v>138703</v>
      </c>
      <c r="H91" s="117">
        <f>H11-H89</f>
        <v>182203.39999999991</v>
      </c>
      <c r="I91" s="61"/>
      <c r="J91" s="59"/>
      <c r="K91" s="62">
        <f>H11-K89</f>
        <v>182203.39999999991</v>
      </c>
      <c r="L91" s="92">
        <v>9.3659503942544589E-2</v>
      </c>
    </row>
    <row r="92" spans="4:12" x14ac:dyDescent="0.4">
      <c r="K92" s="116"/>
    </row>
    <row r="93" spans="4:12" x14ac:dyDescent="0.4">
      <c r="K93" s="116"/>
    </row>
    <row r="94" spans="4:12" x14ac:dyDescent="0.4">
      <c r="J94" s="47"/>
      <c r="K94" s="68"/>
    </row>
  </sheetData>
  <conditionalFormatting sqref="I16:I85">
    <cfRule type="cellIs" dxfId="3" priority="1" operator="lessThan">
      <formula>0</formula>
    </cfRule>
    <cfRule type="cellIs" dxfId="2" priority="2" operator="greaterThan">
      <formula>0</formula>
    </cfRule>
  </conditionalFormatting>
  <pageMargins left="0.7" right="0.7" top="0.75" bottom="0.75" header="0.3" footer="0.3"/>
  <pageSetup scale="5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9765C0-4314-4679-AFA5-A08BAE015A0C}">
  <dimension ref="A1:D62"/>
  <sheetViews>
    <sheetView tabSelected="1" workbookViewId="0">
      <selection activeCell="G66" sqref="G66"/>
    </sheetView>
  </sheetViews>
  <sheetFormatPr defaultColWidth="9.1328125" defaultRowHeight="13.15" outlineLevelRow="1" x14ac:dyDescent="0.4"/>
  <cols>
    <col min="1" max="1" width="44" style="16" bestFit="1" customWidth="1"/>
    <col min="2" max="3" width="11.265625" style="16" bestFit="1" customWidth="1"/>
    <col min="4" max="4" width="11" style="16" bestFit="1" customWidth="1"/>
    <col min="5" max="16384" width="9.1328125" style="16"/>
  </cols>
  <sheetData>
    <row r="1" spans="1:4" ht="17.25" x14ac:dyDescent="0.45">
      <c r="A1" s="40" t="s">
        <v>92</v>
      </c>
    </row>
    <row r="2" spans="1:4" ht="17.25" x14ac:dyDescent="0.45">
      <c r="A2" s="40" t="s">
        <v>93</v>
      </c>
    </row>
    <row r="3" spans="1:4" ht="17.25" x14ac:dyDescent="0.45">
      <c r="A3" s="40" t="s">
        <v>192</v>
      </c>
    </row>
    <row r="4" spans="1:4" x14ac:dyDescent="0.4">
      <c r="A4" s="17" t="s">
        <v>95</v>
      </c>
    </row>
    <row r="5" spans="1:4" ht="25.9" x14ac:dyDescent="0.4">
      <c r="A5" s="131" t="s">
        <v>96</v>
      </c>
      <c r="B5" s="18" t="s">
        <v>194</v>
      </c>
      <c r="C5" s="19" t="s">
        <v>98</v>
      </c>
      <c r="D5" s="18" t="s">
        <v>99</v>
      </c>
    </row>
    <row r="6" spans="1:4" s="22" customFormat="1" x14ac:dyDescent="0.4">
      <c r="A6" s="132"/>
      <c r="B6" s="20">
        <v>45473</v>
      </c>
      <c r="C6" s="21">
        <v>45473</v>
      </c>
      <c r="D6" s="20">
        <v>45473</v>
      </c>
    </row>
    <row r="7" spans="1:4" x14ac:dyDescent="0.4">
      <c r="A7" s="23" t="s">
        <v>95</v>
      </c>
      <c r="B7" s="24"/>
      <c r="C7" s="25"/>
      <c r="D7" s="25"/>
    </row>
    <row r="8" spans="1:4" x14ac:dyDescent="0.4">
      <c r="A8" s="23"/>
      <c r="B8" s="24"/>
      <c r="C8" s="24"/>
      <c r="D8" s="24"/>
    </row>
    <row r="9" spans="1:4" ht="15.4" thickBot="1" x14ac:dyDescent="0.45">
      <c r="A9" s="26" t="s">
        <v>100</v>
      </c>
      <c r="B9" s="27">
        <f>1333914+3000000+3500+14250+7092.1+12060.95+9920.48+10647.97+5000+9387.23+18915.15+7198.74</f>
        <v>4431886.620000001</v>
      </c>
      <c r="C9" s="27">
        <v>4128853</v>
      </c>
      <c r="D9" s="27">
        <f>4423772.73+6000</f>
        <v>4429772.7300000004</v>
      </c>
    </row>
    <row r="10" spans="1:4" ht="15.4" thickTop="1" x14ac:dyDescent="0.4">
      <c r="A10" s="26"/>
      <c r="B10" s="28"/>
      <c r="C10" s="28"/>
      <c r="D10" s="28"/>
    </row>
    <row r="11" spans="1:4" ht="15" x14ac:dyDescent="0.4">
      <c r="A11" s="41" t="s">
        <v>101</v>
      </c>
      <c r="B11" s="30" t="s">
        <v>102</v>
      </c>
      <c r="C11" s="30" t="s">
        <v>102</v>
      </c>
      <c r="D11" s="30" t="s">
        <v>102</v>
      </c>
    </row>
    <row r="12" spans="1:4" ht="13.9" hidden="1" outlineLevel="1" x14ac:dyDescent="0.4">
      <c r="A12" s="31" t="s">
        <v>103</v>
      </c>
      <c r="B12" s="30" t="s">
        <v>104</v>
      </c>
      <c r="C12" s="30" t="s">
        <v>104</v>
      </c>
      <c r="D12" s="30" t="s">
        <v>104</v>
      </c>
    </row>
    <row r="13" spans="1:4" hidden="1" outlineLevel="1" x14ac:dyDescent="0.4">
      <c r="A13" s="17" t="s">
        <v>105</v>
      </c>
      <c r="B13" s="32">
        <f>'2.0 Budget Report - Detail'!Z13</f>
        <v>542603.27</v>
      </c>
      <c r="C13" s="32">
        <v>512054</v>
      </c>
      <c r="D13" s="32">
        <v>475718.1</v>
      </c>
    </row>
    <row r="14" spans="1:4" hidden="1" outlineLevel="1" x14ac:dyDescent="0.4">
      <c r="A14" s="17" t="s">
        <v>106</v>
      </c>
      <c r="B14" s="32">
        <f>'2.0 Budget Report - Detail'!Z14</f>
        <v>44075.67</v>
      </c>
      <c r="C14" s="32">
        <v>135000</v>
      </c>
      <c r="D14" s="32">
        <v>60738.803999999996</v>
      </c>
    </row>
    <row r="15" spans="1:4" hidden="1" outlineLevel="1" x14ac:dyDescent="0.4">
      <c r="A15" s="17" t="s">
        <v>107</v>
      </c>
      <c r="B15" s="32">
        <f>'2.0 Budget Report - Detail'!Z15</f>
        <v>77500.03</v>
      </c>
      <c r="C15" s="32">
        <v>45000</v>
      </c>
      <c r="D15" s="32">
        <v>71400.035999999993</v>
      </c>
    </row>
    <row r="16" spans="1:4" hidden="1" outlineLevel="1" x14ac:dyDescent="0.4">
      <c r="A16" s="17" t="s">
        <v>108</v>
      </c>
      <c r="B16" s="32">
        <f>'2.0 Budget Report - Detail'!Z16</f>
        <v>64335.17</v>
      </c>
      <c r="C16" s="32">
        <v>69996</v>
      </c>
      <c r="D16" s="32">
        <v>102505.44</v>
      </c>
    </row>
    <row r="17" spans="1:4" hidden="1" outlineLevel="1" x14ac:dyDescent="0.4">
      <c r="A17" s="17" t="s">
        <v>109</v>
      </c>
      <c r="B17" s="32">
        <f>'2.0 Budget Report - Detail'!Z17</f>
        <v>0</v>
      </c>
      <c r="C17" s="32">
        <v>75000</v>
      </c>
      <c r="D17" s="32">
        <v>0</v>
      </c>
    </row>
    <row r="18" spans="1:4" hidden="1" outlineLevel="1" x14ac:dyDescent="0.4">
      <c r="A18" s="17" t="s">
        <v>110</v>
      </c>
      <c r="B18" s="32">
        <f>'2.0 Budget Report - Detail'!Z18</f>
        <v>30077.63</v>
      </c>
      <c r="C18" s="32">
        <v>60000</v>
      </c>
      <c r="D18" s="32">
        <v>28093.103999999999</v>
      </c>
    </row>
    <row r="19" spans="1:4" ht="13.9" collapsed="1" x14ac:dyDescent="0.4">
      <c r="A19" s="31" t="s">
        <v>111</v>
      </c>
      <c r="B19" s="33">
        <f>SUM(B13:B18)</f>
        <v>758591.77000000014</v>
      </c>
      <c r="C19" s="33">
        <v>897050</v>
      </c>
      <c r="D19" s="33">
        <f>SUM(D13:D18)</f>
        <v>738455.48399999994</v>
      </c>
    </row>
    <row r="20" spans="1:4" ht="13.9" x14ac:dyDescent="0.4">
      <c r="A20" s="31"/>
      <c r="B20" s="34"/>
      <c r="C20" s="34"/>
      <c r="D20" s="34"/>
    </row>
    <row r="21" spans="1:4" ht="13.9" hidden="1" outlineLevel="1" x14ac:dyDescent="0.4">
      <c r="A21" s="31" t="s">
        <v>112</v>
      </c>
      <c r="B21" s="35" t="s">
        <v>104</v>
      </c>
      <c r="C21" s="36" t="s">
        <v>104</v>
      </c>
      <c r="D21" s="36"/>
    </row>
    <row r="22" spans="1:4" hidden="1" outlineLevel="1" x14ac:dyDescent="0.4">
      <c r="A22" s="17" t="s">
        <v>105</v>
      </c>
      <c r="B22" s="32">
        <f>'2.0 Budget Report - Detail'!Z21</f>
        <v>423703.42</v>
      </c>
      <c r="C22" s="32">
        <v>472142</v>
      </c>
      <c r="D22" s="32">
        <v>424396.40399999998</v>
      </c>
    </row>
    <row r="23" spans="1:4" hidden="1" outlineLevel="1" x14ac:dyDescent="0.4">
      <c r="A23" s="17" t="s">
        <v>113</v>
      </c>
      <c r="B23" s="32">
        <f>'2.0 Budget Report - Detail'!Z22</f>
        <v>40410</v>
      </c>
      <c r="C23" s="32">
        <v>180000</v>
      </c>
      <c r="D23" s="32">
        <v>34092</v>
      </c>
    </row>
    <row r="24" spans="1:4" hidden="1" outlineLevel="1" x14ac:dyDescent="0.4">
      <c r="A24" s="17" t="s">
        <v>114</v>
      </c>
      <c r="B24" s="32">
        <f>'2.0 Budget Report - Detail'!Z23</f>
        <v>1214.5</v>
      </c>
      <c r="C24" s="32">
        <v>20004</v>
      </c>
      <c r="D24" s="32">
        <v>1457.4</v>
      </c>
    </row>
    <row r="25" spans="1:4" hidden="1" outlineLevel="1" x14ac:dyDescent="0.4">
      <c r="A25" s="17" t="s">
        <v>115</v>
      </c>
      <c r="B25" s="32">
        <f>'2.0 Budget Report - Detail'!Z24</f>
        <v>43.04</v>
      </c>
      <c r="C25" s="32">
        <v>20004</v>
      </c>
      <c r="D25" s="32">
        <v>51.647999999999996</v>
      </c>
    </row>
    <row r="26" spans="1:4" ht="13.9" collapsed="1" x14ac:dyDescent="0.4">
      <c r="A26" s="31" t="s">
        <v>116</v>
      </c>
      <c r="B26" s="33">
        <f>SUM(B22:B25)</f>
        <v>465370.95999999996</v>
      </c>
      <c r="C26" s="33">
        <v>692150</v>
      </c>
      <c r="D26" s="33">
        <f>SUM(D22:D25)</f>
        <v>459997.45199999999</v>
      </c>
    </row>
    <row r="27" spans="1:4" ht="13.9" x14ac:dyDescent="0.4">
      <c r="A27" s="31"/>
      <c r="B27" s="34"/>
      <c r="C27" s="34"/>
      <c r="D27" s="34"/>
    </row>
    <row r="28" spans="1:4" ht="13.9" hidden="1" outlineLevel="1" x14ac:dyDescent="0.4">
      <c r="A28" s="31" t="s">
        <v>117</v>
      </c>
      <c r="B28" s="35" t="s">
        <v>104</v>
      </c>
      <c r="C28" s="36" t="s">
        <v>104</v>
      </c>
      <c r="D28" s="36"/>
    </row>
    <row r="29" spans="1:4" hidden="1" outlineLevel="1" x14ac:dyDescent="0.4">
      <c r="A29" s="17" t="s">
        <v>105</v>
      </c>
      <c r="B29" s="32">
        <f>'2.0 Budget Report - Detail'!Z27</f>
        <v>29150</v>
      </c>
      <c r="C29" s="32">
        <v>305892</v>
      </c>
      <c r="D29" s="32">
        <v>29730</v>
      </c>
    </row>
    <row r="30" spans="1:4" hidden="1" outlineLevel="1" x14ac:dyDescent="0.4">
      <c r="A30" s="17" t="s">
        <v>118</v>
      </c>
      <c r="B30" s="32">
        <f>'2.0 Budget Report - Detail'!Z28</f>
        <v>0</v>
      </c>
      <c r="C30" s="32">
        <v>24996</v>
      </c>
      <c r="D30" s="32">
        <v>0</v>
      </c>
    </row>
    <row r="31" spans="1:4" hidden="1" outlineLevel="1" x14ac:dyDescent="0.4">
      <c r="A31" s="17" t="s">
        <v>119</v>
      </c>
      <c r="B31" s="32">
        <f>'2.0 Budget Report - Detail'!Z29</f>
        <v>0</v>
      </c>
      <c r="C31" s="32">
        <v>50004</v>
      </c>
      <c r="D31" s="32">
        <v>0</v>
      </c>
    </row>
    <row r="32" spans="1:4" hidden="1" outlineLevel="1" x14ac:dyDescent="0.4">
      <c r="A32" s="17" t="s">
        <v>120</v>
      </c>
      <c r="B32" s="32">
        <f>'2.0 Budget Report - Detail'!Z30</f>
        <v>107014.82</v>
      </c>
      <c r="C32" s="32">
        <v>125004</v>
      </c>
      <c r="D32" s="32">
        <v>49272</v>
      </c>
    </row>
    <row r="33" spans="1:4" hidden="1" outlineLevel="1" x14ac:dyDescent="0.4">
      <c r="A33" s="17" t="s">
        <v>121</v>
      </c>
      <c r="B33" s="32">
        <f>'2.0 Budget Report - Detail'!Z31</f>
        <v>112745.72</v>
      </c>
      <c r="C33" s="32">
        <v>125004</v>
      </c>
      <c r="D33" s="32">
        <v>95119.679999999993</v>
      </c>
    </row>
    <row r="34" spans="1:4" hidden="1" outlineLevel="1" x14ac:dyDescent="0.4">
      <c r="A34" s="17" t="s">
        <v>122</v>
      </c>
      <c r="B34" s="32">
        <f>'2.0 Budget Report - Detail'!Z32</f>
        <v>0</v>
      </c>
      <c r="C34" s="32">
        <v>90000</v>
      </c>
      <c r="D34" s="32">
        <v>0</v>
      </c>
    </row>
    <row r="35" spans="1:4" hidden="1" outlineLevel="1" x14ac:dyDescent="0.4">
      <c r="A35" s="17" t="s">
        <v>123</v>
      </c>
      <c r="B35" s="32">
        <f>'2.0 Budget Report - Detail'!Z33</f>
        <v>32023.5</v>
      </c>
      <c r="C35" s="32">
        <v>90000</v>
      </c>
      <c r="D35" s="32">
        <v>7604.5439999999999</v>
      </c>
    </row>
    <row r="36" spans="1:4" ht="13.9" collapsed="1" x14ac:dyDescent="0.4">
      <c r="A36" s="31" t="s">
        <v>124</v>
      </c>
      <c r="B36" s="33">
        <f>SUM(B29:B35)</f>
        <v>280934.04000000004</v>
      </c>
      <c r="C36" s="33">
        <v>810900</v>
      </c>
      <c r="D36" s="33">
        <f>SUM(D29:D35)</f>
        <v>181726.22399999999</v>
      </c>
    </row>
    <row r="37" spans="1:4" ht="13.9" x14ac:dyDescent="0.4">
      <c r="A37" s="31"/>
      <c r="B37" s="34"/>
      <c r="C37" s="34"/>
      <c r="D37" s="34"/>
    </row>
    <row r="38" spans="1:4" ht="13.9" hidden="1" outlineLevel="1" x14ac:dyDescent="0.4">
      <c r="A38" s="31" t="s">
        <v>125</v>
      </c>
      <c r="B38" s="35" t="s">
        <v>104</v>
      </c>
      <c r="C38" s="36" t="s">
        <v>104</v>
      </c>
      <c r="D38" s="36"/>
    </row>
    <row r="39" spans="1:4" hidden="1" outlineLevel="1" x14ac:dyDescent="0.4">
      <c r="A39" s="17" t="s">
        <v>105</v>
      </c>
      <c r="B39" s="32">
        <f>'2.0 Budget Report - Detail'!Z36</f>
        <v>273426.64999999997</v>
      </c>
      <c r="C39" s="32">
        <v>319200</v>
      </c>
      <c r="D39" s="32">
        <v>246669.31200000001</v>
      </c>
    </row>
    <row r="40" spans="1:4" hidden="1" outlineLevel="1" x14ac:dyDescent="0.4">
      <c r="A40" s="17" t="s">
        <v>126</v>
      </c>
      <c r="B40" s="32">
        <f>'2.0 Budget Report - Detail'!Z37</f>
        <v>53143.759999999995</v>
      </c>
      <c r="C40" s="32">
        <v>80004</v>
      </c>
      <c r="D40" s="32">
        <v>7636.5479999999998</v>
      </c>
    </row>
    <row r="41" spans="1:4" hidden="1" outlineLevel="1" x14ac:dyDescent="0.4">
      <c r="A41" s="17" t="s">
        <v>127</v>
      </c>
      <c r="B41" s="32">
        <f>'2.0 Budget Report - Detail'!Z38</f>
        <v>17000</v>
      </c>
      <c r="C41" s="32">
        <v>84996</v>
      </c>
      <c r="D41" s="32">
        <v>20400</v>
      </c>
    </row>
    <row r="42" spans="1:4" ht="13.9" collapsed="1" x14ac:dyDescent="0.4">
      <c r="A42" s="31" t="s">
        <v>128</v>
      </c>
      <c r="B42" s="33">
        <f>SUM(B39:B41)</f>
        <v>343570.41</v>
      </c>
      <c r="C42" s="33">
        <v>484200</v>
      </c>
      <c r="D42" s="33">
        <f>SUM(D39:D41)</f>
        <v>274705.86</v>
      </c>
    </row>
    <row r="43" spans="1:4" ht="13.9" x14ac:dyDescent="0.4">
      <c r="A43" s="31"/>
      <c r="B43" s="34"/>
      <c r="C43" s="34"/>
      <c r="D43" s="34"/>
    </row>
    <row r="44" spans="1:4" ht="13.9" hidden="1" outlineLevel="1" x14ac:dyDescent="0.4">
      <c r="A44" s="31" t="s">
        <v>129</v>
      </c>
      <c r="B44" s="35" t="s">
        <v>104</v>
      </c>
      <c r="C44" s="36" t="s">
        <v>104</v>
      </c>
      <c r="D44" s="36"/>
    </row>
    <row r="45" spans="1:4" hidden="1" outlineLevel="1" x14ac:dyDescent="0.4">
      <c r="A45" s="17" t="s">
        <v>105</v>
      </c>
      <c r="B45" s="32">
        <f>'2.0 Budget Report - Detail'!Z41</f>
        <v>567157.5</v>
      </c>
      <c r="C45" s="32">
        <v>711854</v>
      </c>
      <c r="D45" s="32">
        <v>586735.63199999998</v>
      </c>
    </row>
    <row r="46" spans="1:4" hidden="1" outlineLevel="1" x14ac:dyDescent="0.4">
      <c r="A46" s="17" t="s">
        <v>130</v>
      </c>
      <c r="B46" s="32">
        <f>'2.0 Budget Report - Detail'!Z42</f>
        <v>17867.609999999997</v>
      </c>
      <c r="C46" s="32">
        <v>100000</v>
      </c>
      <c r="D46" s="32">
        <v>15764.867999999999</v>
      </c>
    </row>
    <row r="47" spans="1:4" hidden="1" outlineLevel="1" x14ac:dyDescent="0.4">
      <c r="A47" s="17" t="s">
        <v>131</v>
      </c>
      <c r="B47" s="32">
        <f>'2.0 Budget Report - Detail'!Z43</f>
        <v>6882.2</v>
      </c>
      <c r="C47" s="32">
        <v>69996</v>
      </c>
      <c r="D47" s="32">
        <v>8258.64</v>
      </c>
    </row>
    <row r="48" spans="1:4" hidden="1" outlineLevel="1" x14ac:dyDescent="0.4">
      <c r="A48" s="17" t="s">
        <v>132</v>
      </c>
      <c r="B48" s="32">
        <f>'2.0 Budget Report - Detail'!Z44</f>
        <v>119419.5</v>
      </c>
      <c r="C48" s="32">
        <v>20600</v>
      </c>
      <c r="D48" s="32">
        <v>93809.4</v>
      </c>
    </row>
    <row r="49" spans="1:4" hidden="1" outlineLevel="1" x14ac:dyDescent="0.4">
      <c r="A49" s="17" t="s">
        <v>133</v>
      </c>
      <c r="B49" s="32">
        <f>'2.0 Budget Report - Detail'!Z45</f>
        <v>0</v>
      </c>
      <c r="C49" s="32">
        <v>6000</v>
      </c>
      <c r="D49" s="32">
        <v>0</v>
      </c>
    </row>
    <row r="50" spans="1:4" hidden="1" outlineLevel="1" x14ac:dyDescent="0.4">
      <c r="A50" s="17" t="s">
        <v>134</v>
      </c>
      <c r="B50" s="32">
        <f>'2.0 Budget Report - Detail'!Z46</f>
        <v>25764.45</v>
      </c>
      <c r="C50" s="32">
        <v>23400</v>
      </c>
      <c r="D50" s="32">
        <v>24775.583999999999</v>
      </c>
    </row>
    <row r="51" spans="1:4" hidden="1" outlineLevel="1" x14ac:dyDescent="0.4">
      <c r="A51" s="17" t="s">
        <v>135</v>
      </c>
      <c r="B51" s="32">
        <f>'2.0 Budget Report - Detail'!Z47</f>
        <v>23049.070000000003</v>
      </c>
      <c r="C51" s="32">
        <v>0</v>
      </c>
      <c r="D51" s="32">
        <v>16641.815999999999</v>
      </c>
    </row>
    <row r="52" spans="1:4" hidden="1" outlineLevel="1" x14ac:dyDescent="0.4">
      <c r="A52" s="17" t="s">
        <v>136</v>
      </c>
      <c r="B52" s="32">
        <f>'2.0 Budget Report - Detail'!Z48</f>
        <v>82917.2</v>
      </c>
      <c r="C52" s="32">
        <v>0</v>
      </c>
      <c r="D52" s="32">
        <v>86606.8</v>
      </c>
    </row>
    <row r="53" spans="1:4" hidden="1" outlineLevel="1" x14ac:dyDescent="0.4">
      <c r="A53" s="17" t="s">
        <v>119</v>
      </c>
      <c r="B53" s="32">
        <f>'2.0 Budget Report - Detail'!Z49</f>
        <v>16437.2</v>
      </c>
      <c r="C53" s="32">
        <v>69996</v>
      </c>
      <c r="D53" s="32">
        <v>39291.851999999999</v>
      </c>
    </row>
    <row r="54" spans="1:4" hidden="1" outlineLevel="1" x14ac:dyDescent="0.4">
      <c r="A54" s="17" t="s">
        <v>118</v>
      </c>
      <c r="B54" s="32">
        <f>'2.0 Budget Report - Detail'!Z50</f>
        <v>22780.600000000002</v>
      </c>
      <c r="C54" s="32">
        <v>39996</v>
      </c>
      <c r="D54" s="32">
        <v>17246.04</v>
      </c>
    </row>
    <row r="55" spans="1:4" hidden="1" outlineLevel="1" x14ac:dyDescent="0.4">
      <c r="A55" s="17" t="s">
        <v>137</v>
      </c>
      <c r="B55" s="32">
        <f>'2.0 Budget Report - Detail'!Z51</f>
        <v>40074.35</v>
      </c>
      <c r="C55" s="32">
        <v>70008</v>
      </c>
      <c r="D55" s="32">
        <v>31157.675999999999</v>
      </c>
    </row>
    <row r="56" spans="1:4" hidden="1" outlineLevel="1" x14ac:dyDescent="0.4">
      <c r="A56" s="17" t="s">
        <v>138</v>
      </c>
      <c r="B56" s="32">
        <f>'2.0 Budget Report - Detail'!Z52</f>
        <v>9874.8700000000008</v>
      </c>
      <c r="C56" s="32">
        <v>0</v>
      </c>
      <c r="D56" s="32">
        <v>27798.056</v>
      </c>
    </row>
    <row r="57" spans="1:4" hidden="1" outlineLevel="1" x14ac:dyDescent="0.4">
      <c r="A57" s="17" t="s">
        <v>139</v>
      </c>
      <c r="B57" s="32">
        <f>'2.0 Budget Report - Detail'!Z53</f>
        <v>0</v>
      </c>
      <c r="C57" s="32">
        <v>0</v>
      </c>
      <c r="D57" s="32">
        <v>0</v>
      </c>
    </row>
    <row r="58" spans="1:4" ht="13.9" collapsed="1" x14ac:dyDescent="0.4">
      <c r="A58" s="31" t="s">
        <v>140</v>
      </c>
      <c r="B58" s="33">
        <f>SUM(B45:B57)</f>
        <v>932224.5499999997</v>
      </c>
      <c r="C58" s="33">
        <v>1111850</v>
      </c>
      <c r="D58" s="33">
        <f>SUM(D45:D57)</f>
        <v>948086.36400000006</v>
      </c>
    </row>
    <row r="59" spans="1:4" ht="13.9" x14ac:dyDescent="0.4">
      <c r="A59" s="31"/>
      <c r="B59" s="34"/>
      <c r="C59" s="34"/>
      <c r="D59" s="34"/>
    </row>
    <row r="60" spans="1:4" ht="15.4" thickBot="1" x14ac:dyDescent="0.45">
      <c r="A60" s="29" t="s">
        <v>141</v>
      </c>
      <c r="B60" s="37">
        <f>B19+B26+B36+B42+B58</f>
        <v>2780691.7299999995</v>
      </c>
      <c r="C60" s="37">
        <v>3996150</v>
      </c>
      <c r="D60" s="37">
        <f>SUM(D19,D26,D36,D42,D58)</f>
        <v>2602971.3840000001</v>
      </c>
    </row>
    <row r="61" spans="1:4" ht="13.5" thickTop="1" x14ac:dyDescent="0.4">
      <c r="A61" s="17" t="s">
        <v>95</v>
      </c>
    </row>
    <row r="62" spans="1:4" ht="15" x14ac:dyDescent="0.4">
      <c r="A62" s="29" t="s">
        <v>142</v>
      </c>
      <c r="B62" s="38">
        <f>B9-B60</f>
        <v>1651194.8900000015</v>
      </c>
      <c r="C62" s="38">
        <f>C9-C60</f>
        <v>132703</v>
      </c>
      <c r="D62" s="39">
        <f>D9-D60</f>
        <v>1826801.3460000004</v>
      </c>
    </row>
  </sheetData>
  <mergeCells count="1">
    <mergeCell ref="A5:A6"/>
  </mergeCells>
  <pageMargins left="0.75" right="0.75" top="1" bottom="1" header="0.5" footer="0.5"/>
  <pageSetup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409B46-EA82-4E84-856B-D72B0AE3DA12}">
  <sheetPr>
    <pageSetUpPr fitToPage="1"/>
  </sheetPr>
  <dimension ref="A2:O95"/>
  <sheetViews>
    <sheetView topLeftCell="A9" zoomScale="110" zoomScaleNormal="110" workbookViewId="0">
      <selection activeCell="D32" sqref="D32"/>
    </sheetView>
  </sheetViews>
  <sheetFormatPr defaultColWidth="12.59765625" defaultRowHeight="15" x14ac:dyDescent="0.4"/>
  <cols>
    <col min="1" max="3" width="4" style="44" customWidth="1"/>
    <col min="4" max="4" width="35.3984375" style="44" bestFit="1" customWidth="1"/>
    <col min="5" max="5" width="12.3984375" style="44" hidden="1" customWidth="1"/>
    <col min="6" max="6" width="22.3984375" style="44" hidden="1" customWidth="1"/>
    <col min="7" max="7" width="15.73046875" style="44" bestFit="1" customWidth="1"/>
    <col min="8" max="8" width="16.59765625" style="70" bestFit="1" customWidth="1"/>
    <col min="9" max="9" width="13.86328125" style="46" bestFit="1" customWidth="1"/>
    <col min="10" max="10" width="9.73046875" style="44" customWidth="1"/>
    <col min="11" max="11" width="25.86328125" style="71" customWidth="1"/>
    <col min="12" max="12" width="42.86328125" style="44" hidden="1" customWidth="1"/>
    <col min="13" max="13" width="16.265625" style="44" customWidth="1"/>
    <col min="14" max="15" width="13.265625" style="44" bestFit="1" customWidth="1"/>
    <col min="16" max="16384" width="12.59765625" style="44"/>
  </cols>
  <sheetData>
    <row r="2" spans="1:14" s="47" customFormat="1" x14ac:dyDescent="0.4">
      <c r="A2" s="47" t="s">
        <v>13</v>
      </c>
      <c r="H2" s="66"/>
      <c r="I2" s="67"/>
      <c r="K2" s="68"/>
    </row>
    <row r="5" spans="1:14" x14ac:dyDescent="0.4">
      <c r="A5" s="69" t="s">
        <v>14</v>
      </c>
    </row>
    <row r="7" spans="1:14" x14ac:dyDescent="0.4">
      <c r="D7" s="44" t="s">
        <v>143</v>
      </c>
      <c r="F7" s="72"/>
      <c r="G7" s="72"/>
      <c r="H7" s="45"/>
      <c r="K7" s="72">
        <v>3000000</v>
      </c>
    </row>
    <row r="8" spans="1:14" x14ac:dyDescent="0.4">
      <c r="D8" s="44" t="s">
        <v>144</v>
      </c>
      <c r="F8" s="72"/>
      <c r="G8" s="72"/>
      <c r="H8" s="45"/>
      <c r="K8" s="73">
        <v>1333914</v>
      </c>
      <c r="M8" s="126"/>
    </row>
    <row r="9" spans="1:14" x14ac:dyDescent="0.4">
      <c r="F9" s="72"/>
      <c r="G9" s="72"/>
      <c r="J9" s="47" t="s">
        <v>20</v>
      </c>
      <c r="K9" s="48">
        <f>SUM(K7:K8)</f>
        <v>4333914</v>
      </c>
      <c r="M9" s="127"/>
    </row>
    <row r="10" spans="1:14" x14ac:dyDescent="0.4">
      <c r="F10" s="72"/>
      <c r="G10" s="72"/>
      <c r="J10" s="47"/>
      <c r="K10" s="48"/>
      <c r="N10" s="109"/>
    </row>
    <row r="11" spans="1:14" x14ac:dyDescent="0.4">
      <c r="A11" s="69" t="s">
        <v>21</v>
      </c>
      <c r="F11" s="72"/>
      <c r="G11" s="72"/>
      <c r="J11" s="47"/>
      <c r="K11" s="48"/>
    </row>
    <row r="13" spans="1:14" x14ac:dyDescent="0.4">
      <c r="B13" s="69" t="s">
        <v>22</v>
      </c>
    </row>
    <row r="14" spans="1:14" ht="45" x14ac:dyDescent="0.4">
      <c r="C14" s="47" t="s">
        <v>23</v>
      </c>
      <c r="G14" s="49" t="s">
        <v>145</v>
      </c>
      <c r="H14" s="74" t="s">
        <v>146</v>
      </c>
      <c r="I14" s="75" t="s">
        <v>26</v>
      </c>
      <c r="L14" s="47" t="s">
        <v>27</v>
      </c>
    </row>
    <row r="15" spans="1:14" x14ac:dyDescent="0.4">
      <c r="D15" s="50" t="s">
        <v>28</v>
      </c>
      <c r="G15" s="76">
        <v>150000</v>
      </c>
      <c r="H15" s="77">
        <v>124500</v>
      </c>
      <c r="I15" s="76">
        <v>25500</v>
      </c>
      <c r="J15" s="51"/>
      <c r="K15" s="78"/>
      <c r="L15" s="51" t="s">
        <v>29</v>
      </c>
    </row>
    <row r="16" spans="1:14" x14ac:dyDescent="0.4">
      <c r="D16" s="50" t="s">
        <v>30</v>
      </c>
      <c r="G16" s="79">
        <v>90000</v>
      </c>
      <c r="H16" s="80">
        <v>74500</v>
      </c>
      <c r="I16" s="79">
        <v>15500</v>
      </c>
      <c r="K16" s="72"/>
    </row>
    <row r="17" spans="2:15" x14ac:dyDescent="0.4">
      <c r="D17" s="50" t="s">
        <v>31</v>
      </c>
      <c r="G17" s="52">
        <v>75000</v>
      </c>
      <c r="H17" s="80">
        <v>62250</v>
      </c>
      <c r="I17" s="79">
        <v>12750</v>
      </c>
      <c r="K17" s="72"/>
      <c r="L17" s="44" t="s">
        <v>32</v>
      </c>
    </row>
    <row r="18" spans="2:15" x14ac:dyDescent="0.4">
      <c r="D18" s="50" t="s">
        <v>33</v>
      </c>
      <c r="G18" s="52">
        <v>70000</v>
      </c>
      <c r="H18" s="80">
        <v>58500.000000000007</v>
      </c>
      <c r="I18" s="79">
        <v>11499.999999999993</v>
      </c>
      <c r="K18" s="72"/>
      <c r="L18" s="81"/>
    </row>
    <row r="19" spans="2:15" x14ac:dyDescent="0.4">
      <c r="D19" s="53"/>
      <c r="F19" s="51"/>
      <c r="G19" s="63">
        <v>385000</v>
      </c>
      <c r="H19" s="82">
        <v>319750</v>
      </c>
      <c r="I19" s="82">
        <v>65250</v>
      </c>
      <c r="K19" s="72">
        <v>319750</v>
      </c>
      <c r="L19" s="81"/>
    </row>
    <row r="20" spans="2:15" x14ac:dyDescent="0.4">
      <c r="D20" s="53" t="s">
        <v>34</v>
      </c>
      <c r="G20" s="65">
        <v>127050</v>
      </c>
      <c r="H20" s="83">
        <v>104398.375</v>
      </c>
      <c r="I20" s="83">
        <v>22651.625</v>
      </c>
      <c r="K20" s="72">
        <v>104398.375</v>
      </c>
      <c r="L20" s="81"/>
    </row>
    <row r="21" spans="2:15" x14ac:dyDescent="0.4">
      <c r="C21" s="47" t="s">
        <v>35</v>
      </c>
      <c r="H21" s="80"/>
      <c r="I21" s="79"/>
      <c r="K21" s="72"/>
      <c r="L21" s="81"/>
    </row>
    <row r="22" spans="2:15" x14ac:dyDescent="0.4">
      <c r="D22" s="44" t="s">
        <v>36</v>
      </c>
      <c r="G22" s="52">
        <v>90000</v>
      </c>
      <c r="H22" s="80">
        <v>90000</v>
      </c>
      <c r="I22" s="79">
        <v>0</v>
      </c>
      <c r="K22" s="72"/>
      <c r="L22" s="81" t="s">
        <v>37</v>
      </c>
    </row>
    <row r="23" spans="2:15" ht="30" x14ac:dyDescent="0.4">
      <c r="D23" s="44" t="s">
        <v>38</v>
      </c>
      <c r="G23" s="52">
        <v>90000</v>
      </c>
      <c r="H23" s="80">
        <v>90000</v>
      </c>
      <c r="I23" s="79">
        <v>0</v>
      </c>
      <c r="K23" s="72"/>
      <c r="L23" s="81" t="s">
        <v>39</v>
      </c>
    </row>
    <row r="24" spans="2:15" ht="30" x14ac:dyDescent="0.4">
      <c r="D24" s="44" t="s">
        <v>40</v>
      </c>
      <c r="G24" s="52">
        <v>70000</v>
      </c>
      <c r="H24" s="80">
        <v>69999.960000000006</v>
      </c>
      <c r="I24" s="79">
        <v>0</v>
      </c>
      <c r="K24" s="72"/>
      <c r="L24" s="81" t="s">
        <v>41</v>
      </c>
    </row>
    <row r="25" spans="2:15" x14ac:dyDescent="0.4">
      <c r="D25" s="44" t="s">
        <v>42</v>
      </c>
      <c r="G25" s="52">
        <v>75000</v>
      </c>
      <c r="H25" s="80">
        <v>75000</v>
      </c>
      <c r="I25" s="79">
        <v>0</v>
      </c>
      <c r="K25" s="72"/>
      <c r="L25" s="81"/>
    </row>
    <row r="26" spans="2:15" x14ac:dyDescent="0.4">
      <c r="D26" s="44" t="s">
        <v>43</v>
      </c>
      <c r="G26" s="52">
        <v>60000</v>
      </c>
      <c r="H26" s="80">
        <v>60000</v>
      </c>
      <c r="I26" s="79">
        <v>0</v>
      </c>
      <c r="K26" s="72"/>
      <c r="L26" s="81"/>
    </row>
    <row r="27" spans="2:15" x14ac:dyDescent="0.4">
      <c r="F27" s="51"/>
      <c r="G27" s="63">
        <v>385000</v>
      </c>
      <c r="H27" s="82">
        <v>384999.96</v>
      </c>
      <c r="I27" s="82">
        <v>87901.664999999994</v>
      </c>
      <c r="K27" s="72">
        <v>384999.96</v>
      </c>
      <c r="L27" s="81"/>
      <c r="O27" s="110"/>
    </row>
    <row r="28" spans="2:15" x14ac:dyDescent="0.4">
      <c r="H28" s="80"/>
      <c r="I28" s="79"/>
      <c r="J28" s="47" t="s">
        <v>44</v>
      </c>
      <c r="K28" s="54">
        <v>809148.33499999996</v>
      </c>
      <c r="L28" s="81"/>
      <c r="O28" s="110"/>
    </row>
    <row r="29" spans="2:15" x14ac:dyDescent="0.4">
      <c r="B29" s="69" t="s">
        <v>45</v>
      </c>
      <c r="H29" s="80"/>
      <c r="I29" s="79"/>
      <c r="K29" s="72"/>
      <c r="L29" s="81"/>
    </row>
    <row r="30" spans="2:15" x14ac:dyDescent="0.4">
      <c r="C30" s="47" t="s">
        <v>23</v>
      </c>
      <c r="H30" s="80"/>
      <c r="I30" s="79"/>
      <c r="K30" s="72"/>
      <c r="L30" s="81"/>
    </row>
    <row r="31" spans="2:15" x14ac:dyDescent="0.4">
      <c r="D31" s="44" t="s">
        <v>46</v>
      </c>
      <c r="G31" s="52">
        <v>175000</v>
      </c>
      <c r="H31" s="80">
        <v>175000.00000000003</v>
      </c>
      <c r="I31" s="79">
        <v>0</v>
      </c>
      <c r="K31" s="72"/>
      <c r="L31" s="81"/>
    </row>
    <row r="32" spans="2:15" ht="30" x14ac:dyDescent="0.4">
      <c r="D32" s="44" t="s">
        <v>47</v>
      </c>
      <c r="G32" s="52">
        <v>90000</v>
      </c>
      <c r="H32" s="80">
        <v>84600</v>
      </c>
      <c r="I32" s="79">
        <v>5400</v>
      </c>
      <c r="K32" s="72"/>
      <c r="L32" s="81" t="s">
        <v>48</v>
      </c>
    </row>
    <row r="33" spans="2:13" ht="45" x14ac:dyDescent="0.4">
      <c r="D33" s="55" t="s">
        <v>49</v>
      </c>
      <c r="G33" s="52">
        <v>90000</v>
      </c>
      <c r="H33" s="80">
        <v>126000</v>
      </c>
      <c r="I33" s="79">
        <v>-36000</v>
      </c>
      <c r="K33" s="72"/>
      <c r="L33" s="81" t="s">
        <v>50</v>
      </c>
    </row>
    <row r="34" spans="2:13" x14ac:dyDescent="0.4">
      <c r="G34" s="52"/>
      <c r="H34" s="80"/>
      <c r="I34" s="79">
        <v>0</v>
      </c>
      <c r="K34" s="72"/>
      <c r="L34" s="84"/>
      <c r="M34" s="56"/>
    </row>
    <row r="35" spans="2:13" x14ac:dyDescent="0.4">
      <c r="F35" s="51"/>
      <c r="G35" s="63">
        <v>355000</v>
      </c>
      <c r="H35" s="82">
        <v>385600</v>
      </c>
      <c r="I35" s="82">
        <v>-30600</v>
      </c>
      <c r="K35" s="72">
        <v>385600</v>
      </c>
      <c r="L35" s="81"/>
    </row>
    <row r="36" spans="2:13" x14ac:dyDescent="0.4">
      <c r="D36" s="53" t="s">
        <v>34</v>
      </c>
      <c r="G36" s="65">
        <v>117150</v>
      </c>
      <c r="H36" s="83">
        <v>55010.750000000015</v>
      </c>
      <c r="I36" s="83">
        <v>62139.249999999985</v>
      </c>
      <c r="K36" s="72">
        <v>55010.750000000015</v>
      </c>
      <c r="L36" s="85">
        <v>87450</v>
      </c>
    </row>
    <row r="37" spans="2:13" x14ac:dyDescent="0.4">
      <c r="C37" s="47" t="s">
        <v>35</v>
      </c>
      <c r="G37" s="64"/>
      <c r="H37" s="83"/>
      <c r="I37" s="83"/>
      <c r="K37" s="72"/>
      <c r="L37" s="81"/>
    </row>
    <row r="38" spans="2:13" ht="45" x14ac:dyDescent="0.4">
      <c r="D38" s="44" t="s">
        <v>51</v>
      </c>
      <c r="G38" s="44">
        <v>180000</v>
      </c>
      <c r="H38" s="80">
        <v>180000</v>
      </c>
      <c r="I38" s="79">
        <v>0</v>
      </c>
      <c r="K38" s="72"/>
      <c r="L38" s="81" t="s">
        <v>52</v>
      </c>
    </row>
    <row r="39" spans="2:13" x14ac:dyDescent="0.4">
      <c r="D39" s="44" t="s">
        <v>53</v>
      </c>
      <c r="G39" s="44">
        <v>20000</v>
      </c>
      <c r="H39" s="80">
        <v>20000</v>
      </c>
      <c r="I39" s="79">
        <v>0</v>
      </c>
      <c r="K39" s="72"/>
      <c r="L39" s="81" t="s">
        <v>54</v>
      </c>
    </row>
    <row r="40" spans="2:13" x14ac:dyDescent="0.4">
      <c r="D40" s="44" t="s">
        <v>55</v>
      </c>
      <c r="G40" s="44">
        <v>20000</v>
      </c>
      <c r="H40" s="80">
        <v>20000</v>
      </c>
      <c r="I40" s="79">
        <v>0</v>
      </c>
      <c r="K40" s="72"/>
      <c r="L40" s="81"/>
    </row>
    <row r="41" spans="2:13" x14ac:dyDescent="0.4">
      <c r="F41" s="51"/>
      <c r="G41" s="57">
        <v>220000</v>
      </c>
      <c r="H41" s="77">
        <v>220000</v>
      </c>
      <c r="I41" s="76">
        <v>31539.249999999985</v>
      </c>
      <c r="K41" s="72">
        <v>220000</v>
      </c>
      <c r="L41" s="81"/>
    </row>
    <row r="42" spans="2:13" x14ac:dyDescent="0.4">
      <c r="H42" s="80"/>
      <c r="I42" s="79"/>
      <c r="J42" s="47" t="s">
        <v>44</v>
      </c>
      <c r="K42" s="54">
        <v>660610.75</v>
      </c>
      <c r="L42" s="81"/>
    </row>
    <row r="43" spans="2:13" x14ac:dyDescent="0.4">
      <c r="B43" s="69" t="s">
        <v>56</v>
      </c>
      <c r="H43" s="80"/>
      <c r="I43" s="79"/>
      <c r="K43" s="72"/>
      <c r="L43" s="81"/>
    </row>
    <row r="44" spans="2:13" x14ac:dyDescent="0.4">
      <c r="C44" s="47" t="s">
        <v>23</v>
      </c>
      <c r="H44" s="80"/>
      <c r="I44" s="79"/>
      <c r="K44" s="72"/>
      <c r="L44" s="81"/>
    </row>
    <row r="45" spans="2:13" ht="30" x14ac:dyDescent="0.4">
      <c r="D45" s="44" t="s">
        <v>28</v>
      </c>
      <c r="G45" s="44">
        <v>140000</v>
      </c>
      <c r="H45" s="80">
        <v>93333.280000000013</v>
      </c>
      <c r="I45" s="79">
        <v>46666.719999999987</v>
      </c>
      <c r="K45" s="72"/>
      <c r="L45" s="81" t="s">
        <v>57</v>
      </c>
    </row>
    <row r="46" spans="2:13" x14ac:dyDescent="0.4">
      <c r="D46" s="44" t="s">
        <v>58</v>
      </c>
      <c r="G46" s="44">
        <v>90000</v>
      </c>
      <c r="H46" s="80">
        <v>63000</v>
      </c>
      <c r="I46" s="79">
        <v>27000</v>
      </c>
      <c r="K46" s="72"/>
      <c r="L46" s="81" t="s">
        <v>59</v>
      </c>
    </row>
    <row r="47" spans="2:13" x14ac:dyDescent="0.4">
      <c r="F47" s="51"/>
      <c r="G47" s="63">
        <v>230000</v>
      </c>
      <c r="H47" s="82">
        <v>156333.28000000003</v>
      </c>
      <c r="I47" s="82">
        <v>73666.719999999972</v>
      </c>
      <c r="K47" s="72">
        <v>156333.28000000003</v>
      </c>
      <c r="L47" s="81"/>
    </row>
    <row r="48" spans="2:13" x14ac:dyDescent="0.4">
      <c r="D48" s="53" t="s">
        <v>34</v>
      </c>
      <c r="G48" s="64">
        <v>75900</v>
      </c>
      <c r="H48" s="83">
        <v>46407.818319999998</v>
      </c>
      <c r="I48" s="83">
        <v>29492.181680000002</v>
      </c>
      <c r="K48" s="72">
        <v>46407.818319999998</v>
      </c>
      <c r="L48" s="86" t="s">
        <v>60</v>
      </c>
    </row>
    <row r="49" spans="2:12" x14ac:dyDescent="0.4">
      <c r="C49" s="47" t="s">
        <v>35</v>
      </c>
      <c r="H49" s="80"/>
      <c r="I49" s="79"/>
      <c r="K49" s="72"/>
      <c r="L49" s="81"/>
    </row>
    <row r="50" spans="2:12" x14ac:dyDescent="0.4">
      <c r="D50" s="44" t="s">
        <v>61</v>
      </c>
      <c r="G50" s="44">
        <v>125000</v>
      </c>
      <c r="H50" s="80">
        <v>124999.92000000003</v>
      </c>
      <c r="I50" s="79">
        <v>7.9999999972642399E-2</v>
      </c>
      <c r="K50" s="72"/>
      <c r="L50" s="81"/>
    </row>
    <row r="51" spans="2:12" x14ac:dyDescent="0.4">
      <c r="D51" s="44" t="s">
        <v>62</v>
      </c>
      <c r="G51" s="44">
        <v>125000</v>
      </c>
      <c r="H51" s="80">
        <v>124999.92000000003</v>
      </c>
      <c r="I51" s="79">
        <v>7.9999999972642399E-2</v>
      </c>
      <c r="K51" s="72"/>
      <c r="L51" s="81"/>
    </row>
    <row r="52" spans="2:12" x14ac:dyDescent="0.4">
      <c r="D52" s="44" t="s">
        <v>63</v>
      </c>
      <c r="G52" s="44">
        <v>75000</v>
      </c>
      <c r="H52" s="80">
        <v>75000</v>
      </c>
      <c r="I52" s="79">
        <v>0</v>
      </c>
      <c r="K52" s="72"/>
      <c r="L52" s="81"/>
    </row>
    <row r="53" spans="2:12" x14ac:dyDescent="0.4">
      <c r="D53" s="44" t="s">
        <v>147</v>
      </c>
      <c r="G53" s="44">
        <v>90000</v>
      </c>
      <c r="H53" s="80">
        <v>90000</v>
      </c>
      <c r="I53" s="79">
        <v>0</v>
      </c>
      <c r="K53" s="72"/>
      <c r="L53" s="81" t="s">
        <v>65</v>
      </c>
    </row>
    <row r="54" spans="2:12" x14ac:dyDescent="0.4">
      <c r="D54" s="44" t="s">
        <v>148</v>
      </c>
      <c r="G54" s="44">
        <v>90000</v>
      </c>
      <c r="H54" s="80">
        <v>90000</v>
      </c>
      <c r="I54" s="79">
        <v>0</v>
      </c>
      <c r="K54" s="72"/>
      <c r="L54" s="81" t="s">
        <v>149</v>
      </c>
    </row>
    <row r="55" spans="2:12" x14ac:dyDescent="0.4">
      <c r="F55" s="51"/>
      <c r="G55" s="63">
        <v>505000</v>
      </c>
      <c r="H55" s="82">
        <v>504999.84000000008</v>
      </c>
      <c r="I55" s="82">
        <v>103159.06167999993</v>
      </c>
      <c r="K55" s="72">
        <v>504999.84000000008</v>
      </c>
      <c r="L55" s="81"/>
    </row>
    <row r="56" spans="2:12" x14ac:dyDescent="0.4">
      <c r="H56" s="80"/>
      <c r="I56" s="79"/>
      <c r="J56" s="47" t="s">
        <v>44</v>
      </c>
      <c r="K56" s="54">
        <v>707740.93832000007</v>
      </c>
      <c r="L56" s="81"/>
    </row>
    <row r="57" spans="2:12" x14ac:dyDescent="0.4">
      <c r="B57" s="69" t="s">
        <v>66</v>
      </c>
      <c r="H57" s="80"/>
      <c r="I57" s="79"/>
      <c r="K57" s="72"/>
      <c r="L57" s="81"/>
    </row>
    <row r="58" spans="2:12" x14ac:dyDescent="0.4">
      <c r="C58" s="47" t="s">
        <v>23</v>
      </c>
      <c r="H58" s="80"/>
      <c r="I58" s="79"/>
      <c r="K58" s="72"/>
      <c r="L58" s="81"/>
    </row>
    <row r="59" spans="2:12" ht="30" x14ac:dyDescent="0.4">
      <c r="D59" s="44" t="s">
        <v>67</v>
      </c>
      <c r="G59" s="44">
        <v>150000</v>
      </c>
      <c r="H59" s="80">
        <v>138000</v>
      </c>
      <c r="I59" s="79">
        <v>12000</v>
      </c>
      <c r="K59" s="72"/>
      <c r="L59" s="81" t="s">
        <v>68</v>
      </c>
    </row>
    <row r="60" spans="2:12" x14ac:dyDescent="0.4">
      <c r="D60" s="44" t="s">
        <v>69</v>
      </c>
      <c r="G60" s="44">
        <v>90000</v>
      </c>
      <c r="H60" s="80">
        <v>45000</v>
      </c>
      <c r="I60" s="79">
        <v>45000</v>
      </c>
      <c r="K60" s="72"/>
      <c r="L60" s="81" t="s">
        <v>70</v>
      </c>
    </row>
    <row r="61" spans="2:12" x14ac:dyDescent="0.4">
      <c r="H61" s="80"/>
      <c r="I61" s="79"/>
      <c r="K61" s="72"/>
      <c r="L61" s="81"/>
    </row>
    <row r="62" spans="2:12" x14ac:dyDescent="0.4">
      <c r="H62" s="80"/>
      <c r="I62" s="87"/>
      <c r="K62" s="72"/>
      <c r="L62" s="81"/>
    </row>
    <row r="63" spans="2:12" x14ac:dyDescent="0.4">
      <c r="F63" s="51"/>
      <c r="G63" s="63">
        <v>240000</v>
      </c>
      <c r="H63" s="82">
        <v>183000</v>
      </c>
      <c r="I63" s="83">
        <v>57000</v>
      </c>
      <c r="K63" s="72">
        <v>183000</v>
      </c>
      <c r="L63" s="81"/>
    </row>
    <row r="64" spans="2:12" x14ac:dyDescent="0.4">
      <c r="D64" s="44" t="s">
        <v>71</v>
      </c>
      <c r="G64" s="64">
        <v>79200</v>
      </c>
      <c r="H64" s="83">
        <v>53914.5</v>
      </c>
      <c r="I64" s="83">
        <v>25285.5</v>
      </c>
      <c r="K64" s="72">
        <v>53914.5</v>
      </c>
      <c r="L64" s="81"/>
    </row>
    <row r="65" spans="2:12" x14ac:dyDescent="0.4">
      <c r="C65" s="47" t="s">
        <v>35</v>
      </c>
      <c r="H65" s="80"/>
      <c r="I65" s="79"/>
      <c r="K65" s="72"/>
      <c r="L65" s="81"/>
    </row>
    <row r="66" spans="2:12" x14ac:dyDescent="0.4">
      <c r="D66" s="44" t="s">
        <v>72</v>
      </c>
      <c r="G66" s="44">
        <v>80000</v>
      </c>
      <c r="H66" s="80">
        <v>80000</v>
      </c>
      <c r="I66" s="79">
        <v>0</v>
      </c>
      <c r="K66" s="72"/>
      <c r="L66" s="81"/>
    </row>
    <row r="67" spans="2:12" x14ac:dyDescent="0.4">
      <c r="D67" s="44" t="s">
        <v>73</v>
      </c>
      <c r="G67" s="44">
        <v>85000</v>
      </c>
      <c r="H67" s="80">
        <v>84999.96</v>
      </c>
      <c r="I67" s="79">
        <v>3.9999999993597157E-2</v>
      </c>
      <c r="K67" s="72"/>
      <c r="L67" s="81"/>
    </row>
    <row r="68" spans="2:12" x14ac:dyDescent="0.4">
      <c r="D68" s="44" t="s">
        <v>74</v>
      </c>
      <c r="H68" s="80"/>
      <c r="I68" s="79">
        <v>0</v>
      </c>
      <c r="K68" s="72"/>
      <c r="L68" s="81"/>
    </row>
    <row r="69" spans="2:12" x14ac:dyDescent="0.4">
      <c r="F69" s="51"/>
      <c r="G69" s="63">
        <v>165000</v>
      </c>
      <c r="H69" s="82">
        <v>164999.96000000002</v>
      </c>
      <c r="I69" s="82">
        <v>82285.539999999994</v>
      </c>
      <c r="K69" s="72">
        <v>164999.96000000002</v>
      </c>
      <c r="L69" s="81"/>
    </row>
    <row r="70" spans="2:12" x14ac:dyDescent="0.4">
      <c r="H70" s="80"/>
      <c r="I70" s="79"/>
      <c r="J70" s="47" t="s">
        <v>44</v>
      </c>
      <c r="K70" s="54">
        <v>401914.46</v>
      </c>
      <c r="L70" s="81"/>
    </row>
    <row r="71" spans="2:12" x14ac:dyDescent="0.4">
      <c r="B71" s="69" t="s">
        <v>75</v>
      </c>
      <c r="H71" s="80"/>
      <c r="I71" s="79"/>
      <c r="K71" s="72"/>
      <c r="L71" s="81"/>
    </row>
    <row r="72" spans="2:12" x14ac:dyDescent="0.4">
      <c r="C72" s="47" t="s">
        <v>23</v>
      </c>
      <c r="H72" s="80"/>
      <c r="I72" s="79"/>
      <c r="K72" s="72"/>
      <c r="L72" s="81"/>
    </row>
    <row r="73" spans="2:12" x14ac:dyDescent="0.4">
      <c r="D73" s="44" t="s">
        <v>76</v>
      </c>
      <c r="G73" s="44">
        <v>205000</v>
      </c>
      <c r="H73" s="80">
        <v>205000.00000000003</v>
      </c>
      <c r="I73" s="79">
        <v>0</v>
      </c>
      <c r="K73" s="72"/>
      <c r="L73" s="81"/>
    </row>
    <row r="74" spans="2:12" x14ac:dyDescent="0.4">
      <c r="D74" s="44" t="s">
        <v>77</v>
      </c>
      <c r="G74" s="44">
        <v>150000</v>
      </c>
      <c r="H74" s="80">
        <v>112500</v>
      </c>
      <c r="I74" s="79">
        <v>37500</v>
      </c>
      <c r="K74" s="72"/>
      <c r="L74" s="81" t="s">
        <v>78</v>
      </c>
    </row>
    <row r="75" spans="2:12" x14ac:dyDescent="0.4">
      <c r="D75" s="44" t="s">
        <v>79</v>
      </c>
      <c r="G75" s="44">
        <v>90000</v>
      </c>
      <c r="H75" s="80">
        <v>90000</v>
      </c>
      <c r="I75" s="79">
        <v>0</v>
      </c>
      <c r="K75" s="72"/>
      <c r="L75" s="81"/>
    </row>
    <row r="76" spans="2:12" x14ac:dyDescent="0.4">
      <c r="F76" s="51"/>
      <c r="G76" s="63">
        <v>445000</v>
      </c>
      <c r="H76" s="82">
        <v>407500</v>
      </c>
      <c r="I76" s="82">
        <v>37500</v>
      </c>
      <c r="K76" s="72">
        <v>407500</v>
      </c>
      <c r="L76" s="81"/>
    </row>
    <row r="77" spans="2:12" x14ac:dyDescent="0.4">
      <c r="D77" s="44" t="s">
        <v>34</v>
      </c>
      <c r="G77" s="64">
        <v>146850</v>
      </c>
      <c r="H77" s="83">
        <v>119811.24999999997</v>
      </c>
      <c r="I77" s="83">
        <v>27038.750000000029</v>
      </c>
      <c r="K77" s="72">
        <v>119811.24999999997</v>
      </c>
      <c r="L77" s="81"/>
    </row>
    <row r="78" spans="2:12" x14ac:dyDescent="0.4">
      <c r="C78" s="47" t="s">
        <v>35</v>
      </c>
      <c r="H78" s="80"/>
      <c r="I78" s="79"/>
      <c r="K78" s="72"/>
      <c r="L78" s="81"/>
    </row>
    <row r="79" spans="2:12" ht="45" x14ac:dyDescent="0.4">
      <c r="D79" s="44" t="s">
        <v>80</v>
      </c>
      <c r="G79" s="44">
        <v>100000</v>
      </c>
      <c r="H79" s="80">
        <v>79000</v>
      </c>
      <c r="I79" s="79">
        <v>21000</v>
      </c>
      <c r="K79" s="72"/>
      <c r="L79" s="81" t="s">
        <v>81</v>
      </c>
    </row>
    <row r="80" spans="2:12" x14ac:dyDescent="0.4">
      <c r="D80" s="44" t="s">
        <v>82</v>
      </c>
      <c r="G80" s="44">
        <v>70000</v>
      </c>
      <c r="H80" s="80">
        <v>69999.960000000006</v>
      </c>
      <c r="I80" s="79">
        <v>3.9999999993597157E-2</v>
      </c>
      <c r="K80" s="72"/>
      <c r="L80" s="81"/>
    </row>
    <row r="81" spans="4:12" x14ac:dyDescent="0.4">
      <c r="D81" s="44" t="s">
        <v>83</v>
      </c>
      <c r="G81" s="44">
        <v>70000</v>
      </c>
      <c r="H81" s="80">
        <v>69999.960000000006</v>
      </c>
      <c r="I81" s="79">
        <v>3.9999999993597157E-2</v>
      </c>
      <c r="K81" s="72"/>
      <c r="L81" s="81"/>
    </row>
    <row r="82" spans="4:12" x14ac:dyDescent="0.4">
      <c r="D82" s="44" t="s">
        <v>84</v>
      </c>
      <c r="G82" s="44">
        <v>40000</v>
      </c>
      <c r="H82" s="80">
        <v>39999.960000000014</v>
      </c>
      <c r="I82" s="79">
        <v>3.99999999863212E-2</v>
      </c>
      <c r="K82" s="72"/>
      <c r="L82" s="81"/>
    </row>
    <row r="83" spans="4:12" x14ac:dyDescent="0.4">
      <c r="D83" s="44" t="s">
        <v>85</v>
      </c>
      <c r="G83" s="44">
        <v>70000</v>
      </c>
      <c r="H83" s="80">
        <v>69999.960000000006</v>
      </c>
      <c r="I83" s="79">
        <v>3.9999999993597157E-2</v>
      </c>
      <c r="K83" s="72"/>
      <c r="L83" s="81"/>
    </row>
    <row r="84" spans="4:12" ht="30" x14ac:dyDescent="0.4">
      <c r="D84" s="44" t="s">
        <v>86</v>
      </c>
      <c r="G84" s="44">
        <v>50000</v>
      </c>
      <c r="H84" s="80">
        <v>127140</v>
      </c>
      <c r="I84" s="79">
        <v>-77140</v>
      </c>
      <c r="K84" s="72"/>
      <c r="L84" s="81" t="s">
        <v>87</v>
      </c>
    </row>
    <row r="85" spans="4:12" ht="30" x14ac:dyDescent="0.4">
      <c r="D85" s="44" t="s">
        <v>88</v>
      </c>
      <c r="G85" s="44">
        <v>120000</v>
      </c>
      <c r="H85" s="80">
        <v>191710</v>
      </c>
      <c r="I85" s="79">
        <v>-71710</v>
      </c>
      <c r="K85" s="72"/>
      <c r="L85" s="81" t="s">
        <v>89</v>
      </c>
    </row>
    <row r="86" spans="4:12" x14ac:dyDescent="0.4">
      <c r="F86" s="51"/>
      <c r="G86" s="63">
        <v>520000</v>
      </c>
      <c r="H86" s="82">
        <v>647849.84000000008</v>
      </c>
      <c r="I86" s="82">
        <v>-63311.090000000011</v>
      </c>
      <c r="K86" s="72">
        <v>647849.84000000008</v>
      </c>
      <c r="L86" s="81"/>
    </row>
    <row r="87" spans="4:12" x14ac:dyDescent="0.4">
      <c r="J87" s="47" t="s">
        <v>44</v>
      </c>
      <c r="K87" s="54">
        <v>1175161.0900000001</v>
      </c>
      <c r="L87" s="81"/>
    </row>
    <row r="89" spans="4:12" ht="15.75" thickBot="1" x14ac:dyDescent="0.5">
      <c r="L89" s="88"/>
    </row>
    <row r="90" spans="4:12" s="47" customFormat="1" ht="15.4" thickBot="1" x14ac:dyDescent="0.45">
      <c r="D90" s="58" t="s">
        <v>90</v>
      </c>
      <c r="E90" s="59"/>
      <c r="F90" s="59"/>
      <c r="G90" s="62">
        <v>3996150</v>
      </c>
      <c r="H90" s="89">
        <v>3754575.57332</v>
      </c>
      <c r="I90" s="62">
        <v>241574.42667999986</v>
      </c>
      <c r="J90" s="59"/>
      <c r="K90" s="62">
        <v>3754575.57332</v>
      </c>
      <c r="L90" s="90"/>
    </row>
    <row r="91" spans="4:12" ht="15.75" thickBot="1" x14ac:dyDescent="0.5">
      <c r="L91" s="91"/>
    </row>
    <row r="92" spans="4:12" ht="15.4" thickBot="1" x14ac:dyDescent="0.45">
      <c r="D92" s="58" t="s">
        <v>91</v>
      </c>
      <c r="E92" s="59"/>
      <c r="F92" s="59"/>
      <c r="G92" s="59"/>
      <c r="H92" s="60"/>
      <c r="I92" s="61"/>
      <c r="J92" s="59"/>
      <c r="K92" s="62">
        <f>K9-K90</f>
        <v>579338.42668000003</v>
      </c>
      <c r="L92" s="92">
        <v>9.3659503942544589E-2</v>
      </c>
    </row>
    <row r="93" spans="4:12" x14ac:dyDescent="0.4">
      <c r="H93" s="80"/>
      <c r="I93" s="93"/>
      <c r="K93" s="94"/>
    </row>
    <row r="94" spans="4:12" x14ac:dyDescent="0.4">
      <c r="H94" s="80"/>
      <c r="I94" s="93"/>
      <c r="K94" s="94"/>
    </row>
    <row r="95" spans="4:12" x14ac:dyDescent="0.4">
      <c r="H95" s="80"/>
      <c r="I95" s="93"/>
      <c r="J95" s="47"/>
      <c r="K95" s="48"/>
    </row>
  </sheetData>
  <conditionalFormatting sqref="I14:I86">
    <cfRule type="cellIs" dxfId="1" priority="1" operator="lessThan">
      <formula>0</formula>
    </cfRule>
    <cfRule type="cellIs" dxfId="0" priority="2" operator="greaterThan">
      <formula>0</formula>
    </cfRule>
  </conditionalFormatting>
  <pageMargins left="0.7" right="0.7" top="0.75" bottom="0.75" header="0.3" footer="0.3"/>
  <pageSetup scale="5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57"/>
  <sheetViews>
    <sheetView topLeftCell="A26" workbookViewId="0">
      <selection activeCell="Z58" sqref="Z58"/>
    </sheetView>
  </sheetViews>
  <sheetFormatPr defaultColWidth="9.1328125" defaultRowHeight="12.75" x14ac:dyDescent="0.35"/>
  <cols>
    <col min="1" max="1" width="37.86328125" style="1" customWidth="1"/>
    <col min="2" max="2" width="11.59765625" style="1" hidden="1" customWidth="1"/>
    <col min="3" max="3" width="10.3984375" style="135" hidden="1" customWidth="1"/>
    <col min="4" max="4" width="11.59765625" style="135" hidden="1" customWidth="1"/>
    <col min="5" max="5" width="12" style="135" hidden="1" customWidth="1"/>
    <col min="6" max="6" width="11.59765625" style="135" hidden="1" customWidth="1"/>
    <col min="7" max="7" width="10.3984375" style="135" hidden="1" customWidth="1"/>
    <col min="8" max="8" width="11.59765625" style="135" hidden="1" customWidth="1"/>
    <col min="9" max="9" width="10.3984375" style="135" hidden="1" customWidth="1"/>
    <col min="10" max="10" width="11.59765625" style="135" hidden="1" customWidth="1"/>
    <col min="11" max="11" width="10.3984375" style="135" hidden="1" customWidth="1"/>
    <col min="12" max="12" width="11.59765625" style="135" hidden="1" customWidth="1"/>
    <col min="13" max="13" width="10.3984375" style="135" customWidth="1"/>
    <col min="14" max="14" width="11.59765625" style="135" customWidth="1"/>
    <col min="15" max="15" width="10.3984375" style="135" customWidth="1"/>
    <col min="16" max="16" width="11.59765625" style="135" customWidth="1"/>
    <col min="17" max="17" width="10.3984375" style="135" customWidth="1"/>
    <col min="18" max="18" width="11.59765625" style="135" customWidth="1"/>
    <col min="19" max="19" width="10.3984375" style="135" customWidth="1"/>
    <col min="20" max="20" width="11.59765625" style="135" customWidth="1"/>
    <col min="21" max="21" width="10.3984375" style="135" customWidth="1"/>
    <col min="22" max="22" width="11.59765625" style="135" customWidth="1"/>
    <col min="23" max="23" width="10.3984375" style="135" customWidth="1"/>
    <col min="24" max="24" width="11.59765625" style="135" customWidth="1"/>
    <col min="25" max="25" width="10.3984375" style="135" customWidth="1"/>
    <col min="26" max="26" width="12.1328125" style="135" customWidth="1"/>
    <col min="27" max="27" width="14.59765625" style="135" bestFit="1" customWidth="1"/>
    <col min="28" max="28" width="12.796875" style="135" bestFit="1" customWidth="1"/>
    <col min="29" max="29" width="16.1328125" style="135" bestFit="1" customWidth="1"/>
    <col min="30" max="16384" width="9.1328125" style="1"/>
  </cols>
  <sheetData>
    <row r="1" spans="1:29" ht="17.25" x14ac:dyDescent="0.45">
      <c r="A1" s="3" t="s">
        <v>150</v>
      </c>
    </row>
    <row r="2" spans="1:29" ht="17.25" x14ac:dyDescent="0.45">
      <c r="A2" s="3" t="s">
        <v>151</v>
      </c>
    </row>
    <row r="3" spans="1:29" ht="17.25" x14ac:dyDescent="0.45">
      <c r="A3" s="3" t="s">
        <v>94</v>
      </c>
    </row>
    <row r="4" spans="1:29" x14ac:dyDescent="0.35">
      <c r="A4" s="4" t="s">
        <v>152</v>
      </c>
      <c r="B4" s="4" t="s">
        <v>153</v>
      </c>
    </row>
    <row r="5" spans="1:29" x14ac:dyDescent="0.35">
      <c r="A5" s="4" t="s">
        <v>154</v>
      </c>
      <c r="B5" s="4" t="s">
        <v>155</v>
      </c>
    </row>
    <row r="6" spans="1:29" x14ac:dyDescent="0.35">
      <c r="A6" s="2" t="s">
        <v>95</v>
      </c>
    </row>
    <row r="7" spans="1:29" x14ac:dyDescent="0.35">
      <c r="A7" s="4" t="s">
        <v>95</v>
      </c>
      <c r="B7" s="5" t="s">
        <v>156</v>
      </c>
      <c r="C7" s="136" t="s">
        <v>157</v>
      </c>
      <c r="D7" s="136" t="s">
        <v>156</v>
      </c>
      <c r="E7" s="136" t="s">
        <v>157</v>
      </c>
      <c r="F7" s="136" t="s">
        <v>156</v>
      </c>
      <c r="G7" s="136" t="s">
        <v>157</v>
      </c>
      <c r="H7" s="136" t="s">
        <v>156</v>
      </c>
      <c r="I7" s="136" t="s">
        <v>157</v>
      </c>
      <c r="J7" s="136" t="s">
        <v>156</v>
      </c>
      <c r="K7" s="136" t="s">
        <v>157</v>
      </c>
      <c r="L7" s="136" t="s">
        <v>156</v>
      </c>
      <c r="M7" s="136" t="s">
        <v>157</v>
      </c>
      <c r="N7" s="136" t="s">
        <v>156</v>
      </c>
      <c r="O7" s="136" t="s">
        <v>157</v>
      </c>
      <c r="P7" s="136" t="s">
        <v>156</v>
      </c>
      <c r="Q7" s="136" t="s">
        <v>157</v>
      </c>
      <c r="R7" s="136" t="s">
        <v>156</v>
      </c>
      <c r="S7" s="136" t="s">
        <v>157</v>
      </c>
      <c r="T7" s="136" t="s">
        <v>156</v>
      </c>
      <c r="U7" s="136" t="s">
        <v>157</v>
      </c>
      <c r="V7" s="136" t="s">
        <v>156</v>
      </c>
      <c r="W7" s="136" t="s">
        <v>157</v>
      </c>
      <c r="X7" s="136" t="s">
        <v>156</v>
      </c>
      <c r="Y7" s="136" t="s">
        <v>157</v>
      </c>
      <c r="Z7" s="136" t="s">
        <v>97</v>
      </c>
      <c r="AA7" s="136" t="s">
        <v>158</v>
      </c>
      <c r="AB7" s="136" t="s">
        <v>99</v>
      </c>
      <c r="AC7" s="136" t="s">
        <v>159</v>
      </c>
    </row>
    <row r="8" spans="1:29" x14ac:dyDescent="0.35">
      <c r="A8" s="4" t="s">
        <v>95</v>
      </c>
      <c r="B8" s="128" t="s">
        <v>160</v>
      </c>
      <c r="C8" s="137" t="s">
        <v>160</v>
      </c>
      <c r="D8" s="137" t="s">
        <v>161</v>
      </c>
      <c r="E8" s="137" t="s">
        <v>161</v>
      </c>
      <c r="F8" s="137" t="s">
        <v>162</v>
      </c>
      <c r="G8" s="137" t="s">
        <v>162</v>
      </c>
      <c r="H8" s="137" t="s">
        <v>163</v>
      </c>
      <c r="I8" s="137" t="s">
        <v>163</v>
      </c>
      <c r="J8" s="137" t="s">
        <v>164</v>
      </c>
      <c r="K8" s="137" t="s">
        <v>164</v>
      </c>
      <c r="L8" s="137" t="s">
        <v>165</v>
      </c>
      <c r="M8" s="137" t="s">
        <v>165</v>
      </c>
      <c r="N8" s="137" t="s">
        <v>166</v>
      </c>
      <c r="O8" s="137" t="s">
        <v>166</v>
      </c>
      <c r="P8" s="137" t="s">
        <v>167</v>
      </c>
      <c r="Q8" s="137" t="s">
        <v>167</v>
      </c>
      <c r="R8" s="137" t="s">
        <v>168</v>
      </c>
      <c r="S8" s="137" t="s">
        <v>168</v>
      </c>
      <c r="T8" s="137" t="s">
        <v>169</v>
      </c>
      <c r="U8" s="137" t="s">
        <v>169</v>
      </c>
      <c r="V8" s="137" t="s">
        <v>155</v>
      </c>
      <c r="W8" s="137" t="s">
        <v>155</v>
      </c>
      <c r="X8" s="146">
        <v>45473</v>
      </c>
      <c r="Y8" s="146">
        <v>45473</v>
      </c>
      <c r="Z8" s="146">
        <v>45473</v>
      </c>
      <c r="AA8" s="137" t="s">
        <v>170</v>
      </c>
      <c r="AB8" s="137" t="s">
        <v>170</v>
      </c>
      <c r="AC8" s="137" t="s">
        <v>170</v>
      </c>
    </row>
    <row r="9" spans="1:29" x14ac:dyDescent="0.35">
      <c r="A9" s="6" t="s">
        <v>95</v>
      </c>
      <c r="B9" s="7" t="s">
        <v>99</v>
      </c>
      <c r="C9" s="138" t="s">
        <v>157</v>
      </c>
      <c r="D9" s="138" t="s">
        <v>99</v>
      </c>
      <c r="E9" s="138" t="s">
        <v>157</v>
      </c>
      <c r="F9" s="138" t="s">
        <v>99</v>
      </c>
      <c r="G9" s="138" t="s">
        <v>157</v>
      </c>
      <c r="H9" s="138" t="s">
        <v>99</v>
      </c>
      <c r="I9" s="138" t="s">
        <v>157</v>
      </c>
      <c r="J9" s="138" t="s">
        <v>99</v>
      </c>
      <c r="K9" s="138" t="s">
        <v>157</v>
      </c>
      <c r="L9" s="138" t="s">
        <v>99</v>
      </c>
      <c r="M9" s="138" t="s">
        <v>157</v>
      </c>
      <c r="N9" s="138" t="s">
        <v>99</v>
      </c>
      <c r="O9" s="138" t="s">
        <v>157</v>
      </c>
      <c r="P9" s="138" t="s">
        <v>99</v>
      </c>
      <c r="Q9" s="138" t="s">
        <v>157</v>
      </c>
      <c r="R9" s="138" t="s">
        <v>99</v>
      </c>
      <c r="S9" s="138" t="s">
        <v>157</v>
      </c>
      <c r="T9" s="138" t="s">
        <v>99</v>
      </c>
      <c r="U9" s="138" t="s">
        <v>157</v>
      </c>
      <c r="V9" s="138" t="s">
        <v>99</v>
      </c>
      <c r="W9" s="138" t="s">
        <v>157</v>
      </c>
      <c r="X9" s="138" t="s">
        <v>99</v>
      </c>
      <c r="Y9" s="138" t="s">
        <v>157</v>
      </c>
      <c r="Z9" s="138" t="s">
        <v>171</v>
      </c>
      <c r="AA9" s="138" t="s">
        <v>172</v>
      </c>
      <c r="AB9" s="138" t="s">
        <v>99</v>
      </c>
      <c r="AC9" s="138" t="s">
        <v>173</v>
      </c>
    </row>
    <row r="10" spans="1:29" ht="13.15" thickBot="1" x14ac:dyDescent="0.4">
      <c r="A10" s="4" t="s">
        <v>174</v>
      </c>
      <c r="B10" s="8">
        <v>0</v>
      </c>
      <c r="C10" s="139">
        <v>0</v>
      </c>
      <c r="D10" s="139">
        <v>0</v>
      </c>
      <c r="E10" s="139">
        <v>3000000</v>
      </c>
      <c r="F10" s="139">
        <v>0</v>
      </c>
      <c r="G10" s="139">
        <v>0</v>
      </c>
      <c r="H10" s="139">
        <v>0</v>
      </c>
      <c r="I10" s="139">
        <v>3500</v>
      </c>
      <c r="J10" s="139">
        <v>0</v>
      </c>
      <c r="K10" s="139">
        <v>14250</v>
      </c>
      <c r="L10" s="139">
        <v>0</v>
      </c>
      <c r="M10" s="139">
        <v>7092.1</v>
      </c>
      <c r="N10" s="139">
        <v>0</v>
      </c>
      <c r="O10" s="139">
        <v>12060.95</v>
      </c>
      <c r="P10" s="139">
        <v>0</v>
      </c>
      <c r="Q10" s="139">
        <v>9920.48</v>
      </c>
      <c r="R10" s="139">
        <v>0</v>
      </c>
      <c r="S10" s="139">
        <v>10647.97</v>
      </c>
      <c r="T10" s="139">
        <v>0</v>
      </c>
      <c r="U10" s="139">
        <v>14387.23</v>
      </c>
      <c r="V10" s="139">
        <v>0</v>
      </c>
      <c r="W10" s="139">
        <v>18915.150000000001</v>
      </c>
      <c r="X10" s="139">
        <v>0</v>
      </c>
      <c r="Y10" s="139">
        <v>0</v>
      </c>
      <c r="Z10" s="139">
        <f>Y10+W10+U10+S10+Q10+O10+M10+K10+I10+G10+E10+C10</f>
        <v>3090773.88</v>
      </c>
      <c r="AA10" s="139">
        <v>0</v>
      </c>
      <c r="AB10" s="139">
        <v>0</v>
      </c>
      <c r="AC10" s="139">
        <v>-3090773.88</v>
      </c>
    </row>
    <row r="11" spans="1:29" ht="13.15" thickTop="1" x14ac:dyDescent="0.35">
      <c r="A11" s="4" t="s">
        <v>175</v>
      </c>
      <c r="B11" s="9" t="s">
        <v>102</v>
      </c>
      <c r="C11" s="140" t="s">
        <v>102</v>
      </c>
      <c r="D11" s="140" t="s">
        <v>102</v>
      </c>
      <c r="E11" s="140" t="s">
        <v>102</v>
      </c>
      <c r="F11" s="140" t="s">
        <v>102</v>
      </c>
      <c r="G11" s="140" t="s">
        <v>102</v>
      </c>
      <c r="H11" s="140" t="s">
        <v>102</v>
      </c>
      <c r="I11" s="140" t="s">
        <v>102</v>
      </c>
      <c r="J11" s="140" t="s">
        <v>102</v>
      </c>
      <c r="K11" s="140" t="s">
        <v>102</v>
      </c>
      <c r="L11" s="140" t="s">
        <v>102</v>
      </c>
      <c r="M11" s="140" t="s">
        <v>102</v>
      </c>
      <c r="N11" s="140" t="s">
        <v>102</v>
      </c>
      <c r="O11" s="140" t="s">
        <v>102</v>
      </c>
      <c r="P11" s="140" t="s">
        <v>102</v>
      </c>
      <c r="Q11" s="140" t="s">
        <v>102</v>
      </c>
      <c r="R11" s="140" t="s">
        <v>102</v>
      </c>
      <c r="S11" s="140" t="s">
        <v>102</v>
      </c>
      <c r="T11" s="140" t="s">
        <v>102</v>
      </c>
      <c r="U11" s="140" t="s">
        <v>102</v>
      </c>
      <c r="V11" s="140" t="s">
        <v>102</v>
      </c>
      <c r="W11" s="140" t="s">
        <v>102</v>
      </c>
      <c r="X11" s="140" t="s">
        <v>102</v>
      </c>
      <c r="Y11" s="140" t="s">
        <v>102</v>
      </c>
      <c r="Z11" s="140" t="s">
        <v>102</v>
      </c>
      <c r="AA11" s="140" t="s">
        <v>102</v>
      </c>
      <c r="AB11" s="140" t="s">
        <v>102</v>
      </c>
      <c r="AC11" s="140" t="s">
        <v>102</v>
      </c>
    </row>
    <row r="12" spans="1:29" x14ac:dyDescent="0.35">
      <c r="A12" s="4" t="s">
        <v>103</v>
      </c>
      <c r="B12" s="4" t="s">
        <v>104</v>
      </c>
      <c r="C12" s="141" t="s">
        <v>104</v>
      </c>
      <c r="D12" s="141" t="s">
        <v>104</v>
      </c>
      <c r="E12" s="141" t="s">
        <v>104</v>
      </c>
      <c r="F12" s="141" t="s">
        <v>104</v>
      </c>
      <c r="G12" s="141" t="s">
        <v>104</v>
      </c>
      <c r="H12" s="141" t="s">
        <v>104</v>
      </c>
      <c r="I12" s="141" t="s">
        <v>104</v>
      </c>
      <c r="J12" s="141" t="s">
        <v>104</v>
      </c>
      <c r="K12" s="141" t="s">
        <v>104</v>
      </c>
      <c r="L12" s="141" t="s">
        <v>104</v>
      </c>
      <c r="M12" s="141" t="s">
        <v>104</v>
      </c>
      <c r="N12" s="141" t="s">
        <v>104</v>
      </c>
      <c r="O12" s="141" t="s">
        <v>104</v>
      </c>
      <c r="P12" s="141" t="s">
        <v>104</v>
      </c>
      <c r="Q12" s="141" t="s">
        <v>104</v>
      </c>
      <c r="R12" s="141" t="s">
        <v>104</v>
      </c>
      <c r="S12" s="141" t="s">
        <v>104</v>
      </c>
      <c r="T12" s="141" t="s">
        <v>104</v>
      </c>
      <c r="U12" s="141" t="s">
        <v>104</v>
      </c>
      <c r="V12" s="141" t="s">
        <v>104</v>
      </c>
      <c r="W12" s="141" t="s">
        <v>104</v>
      </c>
      <c r="X12" s="141" t="s">
        <v>104</v>
      </c>
      <c r="Y12" s="141" t="s">
        <v>104</v>
      </c>
      <c r="Z12" s="141" t="s">
        <v>104</v>
      </c>
      <c r="AA12" s="141" t="s">
        <v>104</v>
      </c>
      <c r="AB12" s="141" t="s">
        <v>104</v>
      </c>
      <c r="AC12" s="141" t="s">
        <v>104</v>
      </c>
    </row>
    <row r="13" spans="1:29" x14ac:dyDescent="0.35">
      <c r="A13" s="4" t="s">
        <v>105</v>
      </c>
      <c r="B13" s="10">
        <v>41122</v>
      </c>
      <c r="C13" s="142">
        <v>36700</v>
      </c>
      <c r="D13" s="142">
        <v>0</v>
      </c>
      <c r="E13" s="142">
        <v>2925</v>
      </c>
      <c r="F13" s="142">
        <v>0</v>
      </c>
      <c r="G13" s="142">
        <v>36325</v>
      </c>
      <c r="H13" s="142">
        <v>42558</v>
      </c>
      <c r="I13" s="142">
        <v>60185</v>
      </c>
      <c r="J13" s="142">
        <v>42558</v>
      </c>
      <c r="K13" s="142">
        <v>49969.61</v>
      </c>
      <c r="L13" s="142">
        <v>42558</v>
      </c>
      <c r="M13" s="142">
        <f>37784.64-1000</f>
        <v>36784.639999999999</v>
      </c>
      <c r="N13" s="142">
        <v>42558</v>
      </c>
      <c r="O13" s="142">
        <v>34000</v>
      </c>
      <c r="P13" s="142">
        <v>42558</v>
      </c>
      <c r="Q13" s="142">
        <v>49289.24</v>
      </c>
      <c r="R13" s="142">
        <v>42558</v>
      </c>
      <c r="S13" s="142">
        <v>42347.88</v>
      </c>
      <c r="T13" s="142">
        <v>42558</v>
      </c>
      <c r="U13" s="142">
        <v>46905.38</v>
      </c>
      <c r="V13" s="142">
        <v>42558</v>
      </c>
      <c r="W13" s="142">
        <v>19094.68</v>
      </c>
      <c r="X13" s="142">
        <v>42558</v>
      </c>
      <c r="Y13" s="142">
        <f>127215.11+861.73</f>
        <v>128076.84</v>
      </c>
      <c r="Z13" s="142">
        <f t="shared" ref="Z13:Z55" si="0">Y13+W13+U13+S13+Q13+O13+M13+K13+I13+G13+E13+C13</f>
        <v>542603.27</v>
      </c>
      <c r="AA13" s="142">
        <v>512054</v>
      </c>
      <c r="AB13" s="142">
        <v>424144</v>
      </c>
      <c r="AC13" s="142">
        <f>AA13-Z13</f>
        <v>-30549.270000000019</v>
      </c>
    </row>
    <row r="14" spans="1:29" x14ac:dyDescent="0.35">
      <c r="A14" s="4" t="s">
        <v>106</v>
      </c>
      <c r="B14" s="10">
        <v>11250</v>
      </c>
      <c r="C14" s="142">
        <v>11551.8</v>
      </c>
      <c r="D14" s="142">
        <v>11250</v>
      </c>
      <c r="E14" s="142">
        <v>4623.7</v>
      </c>
      <c r="F14" s="142">
        <v>11250</v>
      </c>
      <c r="G14" s="142">
        <v>3019.96</v>
      </c>
      <c r="H14" s="142">
        <v>11250</v>
      </c>
      <c r="I14" s="142">
        <v>578.71</v>
      </c>
      <c r="J14" s="142">
        <v>11250</v>
      </c>
      <c r="K14" s="142">
        <f>4689.72+2110</f>
        <v>6799.72</v>
      </c>
      <c r="L14" s="142">
        <v>11250</v>
      </c>
      <c r="M14" s="142">
        <v>6135</v>
      </c>
      <c r="N14" s="142">
        <v>11250</v>
      </c>
      <c r="O14" s="142">
        <v>1597.45</v>
      </c>
      <c r="P14" s="142">
        <v>11250</v>
      </c>
      <c r="Q14" s="142">
        <v>3750</v>
      </c>
      <c r="R14" s="142">
        <v>11250</v>
      </c>
      <c r="S14" s="142">
        <v>522.54</v>
      </c>
      <c r="T14" s="142">
        <v>11250</v>
      </c>
      <c r="U14" s="142">
        <v>1505</v>
      </c>
      <c r="V14" s="142">
        <v>11250</v>
      </c>
      <c r="W14" s="142">
        <v>0</v>
      </c>
      <c r="X14" s="142">
        <v>11250</v>
      </c>
      <c r="Y14" s="142">
        <v>3991.79</v>
      </c>
      <c r="Z14" s="142">
        <f t="shared" si="0"/>
        <v>44075.67</v>
      </c>
      <c r="AA14" s="142">
        <v>135000</v>
      </c>
      <c r="AB14" s="142">
        <v>135000</v>
      </c>
      <c r="AC14" s="142">
        <f t="shared" ref="AC14:AC55" si="1">AA14-Z14</f>
        <v>90924.33</v>
      </c>
    </row>
    <row r="15" spans="1:29" x14ac:dyDescent="0.35">
      <c r="A15" s="4" t="s">
        <v>107</v>
      </c>
      <c r="B15" s="10">
        <v>3750</v>
      </c>
      <c r="C15" s="142">
        <v>3750</v>
      </c>
      <c r="D15" s="142">
        <v>3750</v>
      </c>
      <c r="E15" s="142">
        <v>4312.53</v>
      </c>
      <c r="F15" s="142">
        <v>3750</v>
      </c>
      <c r="G15" s="142">
        <v>3750</v>
      </c>
      <c r="H15" s="142">
        <v>3750</v>
      </c>
      <c r="I15" s="142">
        <v>3750</v>
      </c>
      <c r="J15" s="142">
        <v>3750</v>
      </c>
      <c r="K15" s="142">
        <v>3750</v>
      </c>
      <c r="L15" s="142">
        <v>3750</v>
      </c>
      <c r="M15" s="142">
        <v>5750</v>
      </c>
      <c r="N15" s="142">
        <v>3750</v>
      </c>
      <c r="O15" s="142">
        <v>3750</v>
      </c>
      <c r="P15" s="142">
        <v>3750</v>
      </c>
      <c r="Q15" s="142">
        <v>8218.75</v>
      </c>
      <c r="R15" s="142">
        <v>3750</v>
      </c>
      <c r="S15" s="142">
        <v>7875</v>
      </c>
      <c r="T15" s="142">
        <v>3750</v>
      </c>
      <c r="U15" s="142">
        <v>14593.75</v>
      </c>
      <c r="V15" s="142">
        <v>3750</v>
      </c>
      <c r="W15" s="142">
        <v>9000</v>
      </c>
      <c r="X15" s="142">
        <v>3750</v>
      </c>
      <c r="Y15" s="142">
        <v>9000</v>
      </c>
      <c r="Z15" s="142">
        <f t="shared" si="0"/>
        <v>77500.03</v>
      </c>
      <c r="AA15" s="142">
        <v>45000</v>
      </c>
      <c r="AB15" s="142">
        <v>45000</v>
      </c>
      <c r="AC15" s="142">
        <f t="shared" si="1"/>
        <v>-32500.03</v>
      </c>
    </row>
    <row r="16" spans="1:29" x14ac:dyDescent="0.35">
      <c r="A16" s="4" t="s">
        <v>108</v>
      </c>
      <c r="B16" s="10">
        <v>5833</v>
      </c>
      <c r="C16" s="142">
        <v>0</v>
      </c>
      <c r="D16" s="142">
        <v>5833</v>
      </c>
      <c r="E16" s="142">
        <v>0</v>
      </c>
      <c r="F16" s="142">
        <v>5833</v>
      </c>
      <c r="G16" s="142">
        <v>226.47</v>
      </c>
      <c r="H16" s="142">
        <v>5833</v>
      </c>
      <c r="I16" s="142">
        <v>0</v>
      </c>
      <c r="J16" s="142">
        <v>5833</v>
      </c>
      <c r="K16" s="142">
        <f>4804.87+81.3</f>
        <v>4886.17</v>
      </c>
      <c r="L16" s="142">
        <v>5833</v>
      </c>
      <c r="M16" s="142">
        <f>21651.06-114.36</f>
        <v>21536.7</v>
      </c>
      <c r="N16" s="142">
        <v>5833</v>
      </c>
      <c r="O16" s="142">
        <v>742.2</v>
      </c>
      <c r="P16" s="142">
        <v>5833</v>
      </c>
      <c r="Q16" s="142">
        <v>32996.6</v>
      </c>
      <c r="R16" s="142">
        <v>5833</v>
      </c>
      <c r="S16" s="142">
        <f>153.04+24.99+25+1272</f>
        <v>1475.03</v>
      </c>
      <c r="T16" s="142">
        <v>5833</v>
      </c>
      <c r="U16" s="142">
        <v>0</v>
      </c>
      <c r="V16" s="142">
        <v>5833</v>
      </c>
      <c r="W16" s="142">
        <v>0</v>
      </c>
      <c r="X16" s="142">
        <v>5833</v>
      </c>
      <c r="Y16" s="142">
        <v>2472</v>
      </c>
      <c r="Z16" s="142">
        <f t="shared" si="0"/>
        <v>64335.17</v>
      </c>
      <c r="AA16" s="142">
        <v>69996</v>
      </c>
      <c r="AB16" s="142">
        <v>69996</v>
      </c>
      <c r="AC16" s="142">
        <f t="shared" si="1"/>
        <v>5660.8300000000017</v>
      </c>
    </row>
    <row r="17" spans="1:29" x14ac:dyDescent="0.35">
      <c r="A17" s="4" t="s">
        <v>109</v>
      </c>
      <c r="B17" s="10">
        <v>6250</v>
      </c>
      <c r="C17" s="142">
        <v>0</v>
      </c>
      <c r="D17" s="142">
        <v>6250</v>
      </c>
      <c r="E17" s="142">
        <v>0</v>
      </c>
      <c r="F17" s="142">
        <v>6250</v>
      </c>
      <c r="G17" s="142">
        <v>0</v>
      </c>
      <c r="H17" s="142">
        <v>6250</v>
      </c>
      <c r="I17" s="142">
        <v>0</v>
      </c>
      <c r="J17" s="142">
        <v>6250</v>
      </c>
      <c r="K17" s="142">
        <v>0</v>
      </c>
      <c r="L17" s="142">
        <v>6250</v>
      </c>
      <c r="M17" s="142">
        <v>0</v>
      </c>
      <c r="N17" s="142">
        <v>6250</v>
      </c>
      <c r="O17" s="142">
        <v>0</v>
      </c>
      <c r="P17" s="142">
        <v>6250</v>
      </c>
      <c r="Q17" s="142">
        <v>0</v>
      </c>
      <c r="R17" s="142">
        <v>6250</v>
      </c>
      <c r="S17" s="142">
        <v>0</v>
      </c>
      <c r="T17" s="142">
        <v>6250</v>
      </c>
      <c r="U17" s="142">
        <v>0</v>
      </c>
      <c r="V17" s="142">
        <v>6250</v>
      </c>
      <c r="W17" s="142">
        <v>0</v>
      </c>
      <c r="X17" s="142">
        <v>6250</v>
      </c>
      <c r="Y17" s="142">
        <v>0</v>
      </c>
      <c r="Z17" s="142">
        <f t="shared" si="0"/>
        <v>0</v>
      </c>
      <c r="AA17" s="142">
        <v>75000</v>
      </c>
      <c r="AB17" s="142">
        <v>75000</v>
      </c>
      <c r="AC17" s="142">
        <f t="shared" si="1"/>
        <v>75000</v>
      </c>
    </row>
    <row r="18" spans="1:29" x14ac:dyDescent="0.35">
      <c r="A18" s="4" t="s">
        <v>110</v>
      </c>
      <c r="B18" s="10">
        <v>5000</v>
      </c>
      <c r="C18" s="142">
        <v>747.92</v>
      </c>
      <c r="D18" s="142">
        <v>5000</v>
      </c>
      <c r="E18" s="142">
        <v>0</v>
      </c>
      <c r="F18" s="142">
        <v>5000</v>
      </c>
      <c r="G18" s="142">
        <v>1833.39</v>
      </c>
      <c r="H18" s="142">
        <v>5000</v>
      </c>
      <c r="I18" s="142">
        <v>1733.48</v>
      </c>
      <c r="J18" s="142">
        <v>5000</v>
      </c>
      <c r="K18" s="142">
        <v>2322.88</v>
      </c>
      <c r="L18" s="142">
        <v>5000</v>
      </c>
      <c r="M18" s="142">
        <v>8064.91</v>
      </c>
      <c r="N18" s="142">
        <v>5000</v>
      </c>
      <c r="O18" s="142">
        <v>2644.27</v>
      </c>
      <c r="P18" s="142">
        <v>5000</v>
      </c>
      <c r="Q18" s="142">
        <v>4090.46</v>
      </c>
      <c r="R18" s="142">
        <v>5000</v>
      </c>
      <c r="S18" s="142">
        <v>220.28</v>
      </c>
      <c r="T18" s="142">
        <v>5000</v>
      </c>
      <c r="U18" s="142">
        <v>5495.56</v>
      </c>
      <c r="V18" s="142">
        <v>5000</v>
      </c>
      <c r="W18" s="142">
        <v>0</v>
      </c>
      <c r="X18" s="142">
        <v>5000</v>
      </c>
      <c r="Y18" s="142">
        <v>2924.48</v>
      </c>
      <c r="Z18" s="142">
        <f t="shared" si="0"/>
        <v>30077.63</v>
      </c>
      <c r="AA18" s="142">
        <v>60000</v>
      </c>
      <c r="AB18" s="142">
        <v>60000</v>
      </c>
      <c r="AC18" s="142">
        <f t="shared" si="1"/>
        <v>29922.37</v>
      </c>
    </row>
    <row r="19" spans="1:29" x14ac:dyDescent="0.35">
      <c r="A19" s="4" t="s">
        <v>111</v>
      </c>
      <c r="B19" s="143">
        <f t="shared" ref="B19:X19" si="2">SUM(B13:B18)</f>
        <v>73205</v>
      </c>
      <c r="C19" s="143">
        <f t="shared" si="2"/>
        <v>52749.72</v>
      </c>
      <c r="D19" s="143">
        <f t="shared" si="2"/>
        <v>32083</v>
      </c>
      <c r="E19" s="143">
        <f t="shared" si="2"/>
        <v>11861.23</v>
      </c>
      <c r="F19" s="143">
        <f t="shared" si="2"/>
        <v>32083</v>
      </c>
      <c r="G19" s="143">
        <f t="shared" si="2"/>
        <v>45154.82</v>
      </c>
      <c r="H19" s="143">
        <f t="shared" si="2"/>
        <v>74641</v>
      </c>
      <c r="I19" s="143">
        <f t="shared" si="2"/>
        <v>66247.19</v>
      </c>
      <c r="J19" s="143">
        <f t="shared" si="2"/>
        <v>74641</v>
      </c>
      <c r="K19" s="143">
        <f t="shared" si="2"/>
        <v>67728.38</v>
      </c>
      <c r="L19" s="143">
        <f t="shared" si="2"/>
        <v>74641</v>
      </c>
      <c r="M19" s="143">
        <f t="shared" si="2"/>
        <v>78271.25</v>
      </c>
      <c r="N19" s="143">
        <f t="shared" si="2"/>
        <v>74641</v>
      </c>
      <c r="O19" s="143">
        <f t="shared" si="2"/>
        <v>42733.919999999991</v>
      </c>
      <c r="P19" s="143">
        <f t="shared" si="2"/>
        <v>74641</v>
      </c>
      <c r="Q19" s="143">
        <f t="shared" si="2"/>
        <v>98345.05</v>
      </c>
      <c r="R19" s="143">
        <f t="shared" si="2"/>
        <v>74641</v>
      </c>
      <c r="S19" s="143">
        <f t="shared" si="2"/>
        <v>52440.729999999996</v>
      </c>
      <c r="T19" s="143">
        <f t="shared" si="2"/>
        <v>74641</v>
      </c>
      <c r="U19" s="143">
        <f t="shared" si="2"/>
        <v>68499.69</v>
      </c>
      <c r="V19" s="143">
        <f t="shared" si="2"/>
        <v>74641</v>
      </c>
      <c r="W19" s="143">
        <f t="shared" si="2"/>
        <v>28094.68</v>
      </c>
      <c r="X19" s="143">
        <f t="shared" si="2"/>
        <v>74641</v>
      </c>
      <c r="Y19" s="143">
        <f>SUM(Y13:Y18)</f>
        <v>146465.11000000002</v>
      </c>
      <c r="Z19" s="143">
        <f t="shared" si="0"/>
        <v>758591.7699999999</v>
      </c>
      <c r="AA19" s="143">
        <v>897050</v>
      </c>
      <c r="AB19" s="143">
        <v>809140</v>
      </c>
      <c r="AC19" s="143">
        <f t="shared" si="1"/>
        <v>138458.2300000001</v>
      </c>
    </row>
    <row r="20" spans="1:29" x14ac:dyDescent="0.35">
      <c r="A20" s="4" t="s">
        <v>112</v>
      </c>
      <c r="B20" s="11" t="s">
        <v>104</v>
      </c>
      <c r="C20" s="144" t="s">
        <v>104</v>
      </c>
      <c r="D20" s="144" t="s">
        <v>104</v>
      </c>
      <c r="E20" s="144" t="s">
        <v>104</v>
      </c>
      <c r="F20" s="144" t="s">
        <v>104</v>
      </c>
      <c r="G20" s="144" t="s">
        <v>104</v>
      </c>
      <c r="H20" s="144" t="s">
        <v>104</v>
      </c>
      <c r="I20" s="144" t="s">
        <v>104</v>
      </c>
      <c r="J20" s="144" t="s">
        <v>104</v>
      </c>
      <c r="K20" s="144" t="s">
        <v>104</v>
      </c>
      <c r="L20" s="144" t="s">
        <v>104</v>
      </c>
      <c r="M20" s="144" t="s">
        <v>104</v>
      </c>
      <c r="N20" s="144" t="s">
        <v>104</v>
      </c>
      <c r="O20" s="144" t="s">
        <v>104</v>
      </c>
      <c r="P20" s="144" t="s">
        <v>104</v>
      </c>
      <c r="Q20" s="144" t="s">
        <v>104</v>
      </c>
      <c r="R20" s="144" t="s">
        <v>104</v>
      </c>
      <c r="S20" s="144" t="s">
        <v>104</v>
      </c>
      <c r="T20" s="144" t="s">
        <v>104</v>
      </c>
      <c r="U20" s="144" t="s">
        <v>104</v>
      </c>
      <c r="V20" s="144" t="s">
        <v>104</v>
      </c>
      <c r="W20" s="144" t="s">
        <v>104</v>
      </c>
      <c r="X20" s="144" t="s">
        <v>104</v>
      </c>
      <c r="Y20" s="144" t="s">
        <v>104</v>
      </c>
      <c r="Z20" s="144"/>
      <c r="AA20" s="144" t="s">
        <v>104</v>
      </c>
      <c r="AB20" s="144" t="s">
        <v>104</v>
      </c>
      <c r="AC20" s="144"/>
    </row>
    <row r="21" spans="1:29" x14ac:dyDescent="0.35">
      <c r="A21" s="4" t="s">
        <v>105</v>
      </c>
      <c r="B21" s="10">
        <v>38429</v>
      </c>
      <c r="C21" s="142">
        <v>33532</v>
      </c>
      <c r="D21" s="142">
        <v>38429</v>
      </c>
      <c r="E21" s="142">
        <v>77048.19</v>
      </c>
      <c r="F21" s="142">
        <v>38429</v>
      </c>
      <c r="G21" s="142">
        <v>33114.99</v>
      </c>
      <c r="H21" s="142">
        <v>38429</v>
      </c>
      <c r="I21" s="142">
        <v>27826.63</v>
      </c>
      <c r="J21" s="142">
        <v>38429</v>
      </c>
      <c r="K21" s="142">
        <v>47112.800000000003</v>
      </c>
      <c r="L21" s="142">
        <v>38429</v>
      </c>
      <c r="M21" s="142">
        <v>16864.71</v>
      </c>
      <c r="N21" s="142">
        <v>35008</v>
      </c>
      <c r="O21" s="142">
        <v>32000.34</v>
      </c>
      <c r="P21" s="142">
        <v>35008</v>
      </c>
      <c r="Q21" s="142">
        <v>34198.51</v>
      </c>
      <c r="R21" s="142">
        <v>35008</v>
      </c>
      <c r="S21" s="142">
        <v>29816.01</v>
      </c>
      <c r="T21" s="142">
        <v>35008</v>
      </c>
      <c r="U21" s="142">
        <v>22759.3</v>
      </c>
      <c r="V21" s="142">
        <v>35008</v>
      </c>
      <c r="W21" s="142">
        <v>19894.05</v>
      </c>
      <c r="X21" s="142">
        <v>35008</v>
      </c>
      <c r="Y21" s="142">
        <v>49535.89</v>
      </c>
      <c r="Z21" s="142">
        <f t="shared" si="0"/>
        <v>423703.42</v>
      </c>
      <c r="AA21" s="142">
        <v>472142</v>
      </c>
      <c r="AB21" s="142">
        <v>440622</v>
      </c>
      <c r="AC21" s="142">
        <f t="shared" si="1"/>
        <v>48438.580000000016</v>
      </c>
    </row>
    <row r="22" spans="1:29" x14ac:dyDescent="0.35">
      <c r="A22" s="4" t="s">
        <v>113</v>
      </c>
      <c r="B22" s="10">
        <v>15000</v>
      </c>
      <c r="C22" s="142">
        <v>0</v>
      </c>
      <c r="D22" s="142">
        <v>15000</v>
      </c>
      <c r="E22" s="142">
        <v>18940</v>
      </c>
      <c r="F22" s="142">
        <v>15000</v>
      </c>
      <c r="G22" s="142">
        <v>9470</v>
      </c>
      <c r="H22" s="142">
        <v>15000</v>
      </c>
      <c r="I22" s="142">
        <v>0</v>
      </c>
      <c r="J22" s="142">
        <v>15000</v>
      </c>
      <c r="K22" s="142">
        <v>0</v>
      </c>
      <c r="L22" s="142">
        <v>15000</v>
      </c>
      <c r="M22" s="142">
        <v>0</v>
      </c>
      <c r="N22" s="142">
        <v>15000</v>
      </c>
      <c r="O22" s="142">
        <v>0</v>
      </c>
      <c r="P22" s="142">
        <v>15000</v>
      </c>
      <c r="Q22" s="142">
        <v>0</v>
      </c>
      <c r="R22" s="142">
        <v>15000</v>
      </c>
      <c r="S22" s="142">
        <v>0</v>
      </c>
      <c r="T22" s="142">
        <v>15000</v>
      </c>
      <c r="U22" s="142">
        <v>12000</v>
      </c>
      <c r="V22" s="142">
        <v>15000</v>
      </c>
      <c r="W22" s="142">
        <v>0</v>
      </c>
      <c r="X22" s="142">
        <v>15000</v>
      </c>
      <c r="Y22" s="142">
        <v>0</v>
      </c>
      <c r="Z22" s="142">
        <f t="shared" si="0"/>
        <v>40410</v>
      </c>
      <c r="AA22" s="142">
        <v>180000</v>
      </c>
      <c r="AB22" s="142">
        <v>180000</v>
      </c>
      <c r="AC22" s="142">
        <f t="shared" si="1"/>
        <v>139590</v>
      </c>
    </row>
    <row r="23" spans="1:29" x14ac:dyDescent="0.35">
      <c r="A23" s="4" t="s">
        <v>114</v>
      </c>
      <c r="B23" s="10">
        <v>1667</v>
      </c>
      <c r="C23" s="142">
        <v>0</v>
      </c>
      <c r="D23" s="142">
        <v>1667</v>
      </c>
      <c r="E23" s="142">
        <v>0</v>
      </c>
      <c r="F23" s="142">
        <v>1667</v>
      </c>
      <c r="G23" s="142">
        <v>0</v>
      </c>
      <c r="H23" s="142">
        <v>1667</v>
      </c>
      <c r="I23" s="142">
        <v>0</v>
      </c>
      <c r="J23" s="142">
        <v>1667</v>
      </c>
      <c r="K23" s="142">
        <v>0</v>
      </c>
      <c r="L23" s="142">
        <v>1667</v>
      </c>
      <c r="M23" s="142">
        <v>0</v>
      </c>
      <c r="N23" s="142">
        <v>1667</v>
      </c>
      <c r="O23" s="142">
        <v>0</v>
      </c>
      <c r="P23" s="142">
        <v>1667</v>
      </c>
      <c r="Q23" s="142">
        <v>0</v>
      </c>
      <c r="R23" s="142">
        <v>1667</v>
      </c>
      <c r="S23" s="142">
        <v>0</v>
      </c>
      <c r="T23" s="142">
        <v>1667</v>
      </c>
      <c r="U23" s="142">
        <v>1214.5</v>
      </c>
      <c r="V23" s="142">
        <v>1667</v>
      </c>
      <c r="W23" s="142">
        <v>0</v>
      </c>
      <c r="X23" s="142">
        <v>1667</v>
      </c>
      <c r="Y23" s="142">
        <v>0</v>
      </c>
      <c r="Z23" s="142">
        <f t="shared" si="0"/>
        <v>1214.5</v>
      </c>
      <c r="AA23" s="142">
        <v>20004</v>
      </c>
      <c r="AB23" s="142">
        <v>20004</v>
      </c>
      <c r="AC23" s="142">
        <f t="shared" si="1"/>
        <v>18789.5</v>
      </c>
    </row>
    <row r="24" spans="1:29" x14ac:dyDescent="0.35">
      <c r="A24" s="4" t="s">
        <v>115</v>
      </c>
      <c r="B24" s="10">
        <v>1667</v>
      </c>
      <c r="C24" s="142">
        <v>0</v>
      </c>
      <c r="D24" s="142">
        <v>1667</v>
      </c>
      <c r="E24" s="142">
        <v>0</v>
      </c>
      <c r="F24" s="142">
        <v>1667</v>
      </c>
      <c r="G24" s="142">
        <v>0</v>
      </c>
      <c r="H24" s="142">
        <v>1667</v>
      </c>
      <c r="I24" s="142">
        <v>0</v>
      </c>
      <c r="J24" s="142">
        <v>1667</v>
      </c>
      <c r="K24" s="142">
        <v>0</v>
      </c>
      <c r="L24" s="142">
        <v>1667</v>
      </c>
      <c r="M24" s="142">
        <v>0</v>
      </c>
      <c r="N24" s="142">
        <v>1667</v>
      </c>
      <c r="O24" s="142">
        <v>0</v>
      </c>
      <c r="P24" s="142">
        <v>1667</v>
      </c>
      <c r="Q24" s="142">
        <v>0</v>
      </c>
      <c r="R24" s="142">
        <v>1667</v>
      </c>
      <c r="S24" s="142">
        <v>0</v>
      </c>
      <c r="T24" s="142">
        <v>1667</v>
      </c>
      <c r="U24" s="142">
        <v>43.04</v>
      </c>
      <c r="V24" s="142">
        <v>1667</v>
      </c>
      <c r="W24" s="142">
        <v>0</v>
      </c>
      <c r="X24" s="142">
        <v>1667</v>
      </c>
      <c r="Y24" s="142">
        <v>0</v>
      </c>
      <c r="Z24" s="142">
        <f t="shared" si="0"/>
        <v>43.04</v>
      </c>
      <c r="AA24" s="142">
        <v>20004</v>
      </c>
      <c r="AB24" s="142">
        <v>20004</v>
      </c>
      <c r="AC24" s="142">
        <f t="shared" si="1"/>
        <v>19960.96</v>
      </c>
    </row>
    <row r="25" spans="1:29" x14ac:dyDescent="0.35">
      <c r="A25" s="4" t="s">
        <v>116</v>
      </c>
      <c r="B25" s="143">
        <f t="shared" ref="B25:X25" si="3">SUM(B21:B24)</f>
        <v>56763</v>
      </c>
      <c r="C25" s="143">
        <f t="shared" si="3"/>
        <v>33532</v>
      </c>
      <c r="D25" s="143">
        <f t="shared" si="3"/>
        <v>56763</v>
      </c>
      <c r="E25" s="143">
        <f t="shared" si="3"/>
        <v>95988.19</v>
      </c>
      <c r="F25" s="143">
        <f t="shared" si="3"/>
        <v>56763</v>
      </c>
      <c r="G25" s="143">
        <f t="shared" si="3"/>
        <v>42584.99</v>
      </c>
      <c r="H25" s="143">
        <f t="shared" si="3"/>
        <v>56763</v>
      </c>
      <c r="I25" s="143">
        <f t="shared" si="3"/>
        <v>27826.63</v>
      </c>
      <c r="J25" s="143">
        <f t="shared" si="3"/>
        <v>56763</v>
      </c>
      <c r="K25" s="143">
        <f t="shared" si="3"/>
        <v>47112.800000000003</v>
      </c>
      <c r="L25" s="143">
        <f t="shared" si="3"/>
        <v>56763</v>
      </c>
      <c r="M25" s="143">
        <f t="shared" si="3"/>
        <v>16864.71</v>
      </c>
      <c r="N25" s="143">
        <f t="shared" si="3"/>
        <v>53342</v>
      </c>
      <c r="O25" s="143">
        <f t="shared" si="3"/>
        <v>32000.34</v>
      </c>
      <c r="P25" s="143">
        <f t="shared" si="3"/>
        <v>53342</v>
      </c>
      <c r="Q25" s="143">
        <f t="shared" si="3"/>
        <v>34198.51</v>
      </c>
      <c r="R25" s="143">
        <f t="shared" si="3"/>
        <v>53342</v>
      </c>
      <c r="S25" s="143">
        <f t="shared" si="3"/>
        <v>29816.01</v>
      </c>
      <c r="T25" s="143">
        <f t="shared" si="3"/>
        <v>53342</v>
      </c>
      <c r="U25" s="143">
        <f t="shared" si="3"/>
        <v>36016.840000000004</v>
      </c>
      <c r="V25" s="143">
        <f t="shared" si="3"/>
        <v>53342</v>
      </c>
      <c r="W25" s="143">
        <f t="shared" si="3"/>
        <v>19894.05</v>
      </c>
      <c r="X25" s="143">
        <f t="shared" si="3"/>
        <v>53342</v>
      </c>
      <c r="Y25" s="143">
        <f>SUM(Y21:Y24)</f>
        <v>49535.89</v>
      </c>
      <c r="Z25" s="143">
        <f t="shared" si="0"/>
        <v>465370.96</v>
      </c>
      <c r="AA25" s="143">
        <v>692150</v>
      </c>
      <c r="AB25" s="143">
        <v>660630</v>
      </c>
      <c r="AC25" s="143">
        <f t="shared" si="1"/>
        <v>226779.03999999998</v>
      </c>
    </row>
    <row r="26" spans="1:29" x14ac:dyDescent="0.35">
      <c r="A26" s="4" t="s">
        <v>117</v>
      </c>
      <c r="B26" s="11" t="s">
        <v>104</v>
      </c>
      <c r="C26" s="144" t="s">
        <v>104</v>
      </c>
      <c r="D26" s="144" t="s">
        <v>104</v>
      </c>
      <c r="E26" s="144" t="s">
        <v>104</v>
      </c>
      <c r="F26" s="144" t="s">
        <v>104</v>
      </c>
      <c r="G26" s="144" t="s">
        <v>104</v>
      </c>
      <c r="H26" s="144" t="s">
        <v>104</v>
      </c>
      <c r="I26" s="144" t="s">
        <v>104</v>
      </c>
      <c r="J26" s="144" t="s">
        <v>104</v>
      </c>
      <c r="K26" s="144" t="s">
        <v>104</v>
      </c>
      <c r="L26" s="144" t="s">
        <v>104</v>
      </c>
      <c r="M26" s="144" t="s">
        <v>104</v>
      </c>
      <c r="N26" s="144" t="s">
        <v>104</v>
      </c>
      <c r="O26" s="144" t="s">
        <v>104</v>
      </c>
      <c r="P26" s="144" t="s">
        <v>104</v>
      </c>
      <c r="Q26" s="144" t="s">
        <v>104</v>
      </c>
      <c r="R26" s="144" t="s">
        <v>104</v>
      </c>
      <c r="S26" s="144" t="s">
        <v>104</v>
      </c>
      <c r="T26" s="144" t="s">
        <v>104</v>
      </c>
      <c r="U26" s="144" t="s">
        <v>104</v>
      </c>
      <c r="V26" s="144" t="s">
        <v>104</v>
      </c>
      <c r="W26" s="144" t="s">
        <v>104</v>
      </c>
      <c r="X26" s="144" t="s">
        <v>104</v>
      </c>
      <c r="Y26" s="144" t="s">
        <v>104</v>
      </c>
      <c r="Z26" s="144"/>
      <c r="AA26" s="144" t="s">
        <v>104</v>
      </c>
      <c r="AB26" s="144" t="s">
        <v>104</v>
      </c>
      <c r="AC26" s="144"/>
    </row>
    <row r="27" spans="1:29" x14ac:dyDescent="0.35">
      <c r="A27" s="4" t="s">
        <v>105</v>
      </c>
      <c r="B27" s="10">
        <v>4045</v>
      </c>
      <c r="C27" s="142">
        <v>0</v>
      </c>
      <c r="D27" s="142">
        <v>4045</v>
      </c>
      <c r="E27" s="142">
        <v>0</v>
      </c>
      <c r="F27" s="142">
        <v>4045</v>
      </c>
      <c r="G27" s="142">
        <v>1400</v>
      </c>
      <c r="H27" s="142">
        <v>4045</v>
      </c>
      <c r="I27" s="142">
        <v>4375</v>
      </c>
      <c r="J27" s="142">
        <v>18996</v>
      </c>
      <c r="K27" s="142">
        <v>0</v>
      </c>
      <c r="L27" s="142">
        <v>18996</v>
      </c>
      <c r="M27" s="142">
        <v>0</v>
      </c>
      <c r="N27" s="142">
        <v>24762</v>
      </c>
      <c r="O27" s="142">
        <v>7500</v>
      </c>
      <c r="P27" s="142">
        <v>24762</v>
      </c>
      <c r="Q27" s="142">
        <v>4000</v>
      </c>
      <c r="R27" s="142">
        <v>24762</v>
      </c>
      <c r="S27" s="142">
        <v>0</v>
      </c>
      <c r="T27" s="142">
        <v>24762</v>
      </c>
      <c r="U27" s="142">
        <v>7500</v>
      </c>
      <c r="V27" s="142">
        <v>24762</v>
      </c>
      <c r="W27" s="142">
        <v>4375</v>
      </c>
      <c r="X27" s="142">
        <v>24762</v>
      </c>
      <c r="Y27" s="142">
        <v>0</v>
      </c>
      <c r="Z27" s="142">
        <f t="shared" si="0"/>
        <v>29150</v>
      </c>
      <c r="AA27" s="142">
        <v>305892</v>
      </c>
      <c r="AB27" s="142">
        <v>202744</v>
      </c>
      <c r="AC27" s="142">
        <f t="shared" si="1"/>
        <v>276742</v>
      </c>
    </row>
    <row r="28" spans="1:29" x14ac:dyDescent="0.35">
      <c r="A28" s="4" t="s">
        <v>118</v>
      </c>
      <c r="B28" s="10">
        <v>2083</v>
      </c>
      <c r="C28" s="142">
        <v>0</v>
      </c>
      <c r="D28" s="142">
        <v>2083</v>
      </c>
      <c r="E28" s="142">
        <v>0</v>
      </c>
      <c r="F28" s="142">
        <v>2083</v>
      </c>
      <c r="G28" s="142">
        <v>0</v>
      </c>
      <c r="H28" s="142">
        <v>2083</v>
      </c>
      <c r="I28" s="142">
        <v>0</v>
      </c>
      <c r="J28" s="142">
        <v>2083</v>
      </c>
      <c r="K28" s="142">
        <v>0</v>
      </c>
      <c r="L28" s="142">
        <v>2083</v>
      </c>
      <c r="M28" s="142">
        <v>0</v>
      </c>
      <c r="N28" s="142">
        <v>2083</v>
      </c>
      <c r="O28" s="142">
        <v>0</v>
      </c>
      <c r="P28" s="142">
        <v>2083</v>
      </c>
      <c r="Q28" s="142">
        <v>0</v>
      </c>
      <c r="R28" s="142">
        <v>2083</v>
      </c>
      <c r="S28" s="142">
        <v>0</v>
      </c>
      <c r="T28" s="142">
        <v>2083</v>
      </c>
      <c r="U28" s="142">
        <v>0</v>
      </c>
      <c r="V28" s="142">
        <v>2083</v>
      </c>
      <c r="W28" s="142">
        <v>0</v>
      </c>
      <c r="X28" s="142">
        <v>2083</v>
      </c>
      <c r="Y28" s="142">
        <v>0</v>
      </c>
      <c r="Z28" s="142">
        <f t="shared" si="0"/>
        <v>0</v>
      </c>
      <c r="AA28" s="142">
        <v>24996</v>
      </c>
      <c r="AB28" s="142">
        <v>24996</v>
      </c>
      <c r="AC28" s="142">
        <f t="shared" si="1"/>
        <v>24996</v>
      </c>
    </row>
    <row r="29" spans="1:29" x14ac:dyDescent="0.35">
      <c r="A29" s="4" t="s">
        <v>119</v>
      </c>
      <c r="B29" s="10">
        <v>4167</v>
      </c>
      <c r="C29" s="142">
        <v>0</v>
      </c>
      <c r="D29" s="142">
        <v>4167</v>
      </c>
      <c r="E29" s="142">
        <v>0</v>
      </c>
      <c r="F29" s="142">
        <v>4167</v>
      </c>
      <c r="G29" s="142">
        <v>0</v>
      </c>
      <c r="H29" s="142">
        <v>4167</v>
      </c>
      <c r="I29" s="142">
        <v>0</v>
      </c>
      <c r="J29" s="142">
        <v>4167</v>
      </c>
      <c r="K29" s="142">
        <v>0</v>
      </c>
      <c r="L29" s="142">
        <v>4167</v>
      </c>
      <c r="M29" s="142">
        <v>0</v>
      </c>
      <c r="N29" s="142">
        <v>4167</v>
      </c>
      <c r="O29" s="142">
        <v>0</v>
      </c>
      <c r="P29" s="142">
        <v>4167</v>
      </c>
      <c r="Q29" s="142">
        <v>0</v>
      </c>
      <c r="R29" s="142">
        <v>4167</v>
      </c>
      <c r="S29" s="142">
        <v>0</v>
      </c>
      <c r="T29" s="142">
        <v>4167</v>
      </c>
      <c r="U29" s="142">
        <v>0</v>
      </c>
      <c r="V29" s="142">
        <v>4167</v>
      </c>
      <c r="W29" s="142">
        <v>0</v>
      </c>
      <c r="X29" s="142">
        <v>4167</v>
      </c>
      <c r="Y29" s="142">
        <v>0</v>
      </c>
      <c r="Z29" s="142">
        <f t="shared" si="0"/>
        <v>0</v>
      </c>
      <c r="AA29" s="142">
        <v>50004</v>
      </c>
      <c r="AB29" s="142">
        <v>50004</v>
      </c>
      <c r="AC29" s="142">
        <f t="shared" si="1"/>
        <v>50004</v>
      </c>
    </row>
    <row r="30" spans="1:29" x14ac:dyDescent="0.35">
      <c r="A30" s="4" t="s">
        <v>120</v>
      </c>
      <c r="B30" s="10">
        <v>10417</v>
      </c>
      <c r="C30" s="142">
        <v>6250</v>
      </c>
      <c r="D30" s="142">
        <v>10417</v>
      </c>
      <c r="E30" s="142">
        <v>0</v>
      </c>
      <c r="F30" s="142">
        <v>10417</v>
      </c>
      <c r="G30" s="142">
        <v>5250</v>
      </c>
      <c r="H30" s="142">
        <v>10417</v>
      </c>
      <c r="I30" s="142">
        <v>13750</v>
      </c>
      <c r="J30" s="142">
        <v>10417</v>
      </c>
      <c r="K30" s="142">
        <v>0</v>
      </c>
      <c r="L30" s="142">
        <v>10417</v>
      </c>
      <c r="M30" s="142">
        <v>0</v>
      </c>
      <c r="N30" s="142">
        <v>10417</v>
      </c>
      <c r="O30" s="142">
        <v>0</v>
      </c>
      <c r="P30" s="142">
        <v>10417</v>
      </c>
      <c r="Q30" s="142">
        <v>0</v>
      </c>
      <c r="R30" s="142">
        <v>10417</v>
      </c>
      <c r="S30" s="142">
        <v>14750</v>
      </c>
      <c r="T30" s="142">
        <v>10417</v>
      </c>
      <c r="U30" s="142">
        <v>1060</v>
      </c>
      <c r="V30" s="142">
        <v>10417</v>
      </c>
      <c r="W30" s="142">
        <v>0</v>
      </c>
      <c r="X30" s="142">
        <v>10417</v>
      </c>
      <c r="Y30" s="142">
        <v>65954.820000000007</v>
      </c>
      <c r="Z30" s="142">
        <f t="shared" si="0"/>
        <v>107014.82</v>
      </c>
      <c r="AA30" s="142">
        <v>125004</v>
      </c>
      <c r="AB30" s="142">
        <v>125004</v>
      </c>
      <c r="AC30" s="142">
        <f t="shared" si="1"/>
        <v>17989.179999999993</v>
      </c>
    </row>
    <row r="31" spans="1:29" x14ac:dyDescent="0.35">
      <c r="A31" s="4" t="s">
        <v>121</v>
      </c>
      <c r="B31" s="10">
        <v>10417</v>
      </c>
      <c r="C31" s="142">
        <v>0</v>
      </c>
      <c r="D31" s="142">
        <v>10417</v>
      </c>
      <c r="E31" s="142">
        <v>10000</v>
      </c>
      <c r="F31" s="142">
        <v>10417</v>
      </c>
      <c r="G31" s="142">
        <v>10000</v>
      </c>
      <c r="H31" s="142">
        <v>10417</v>
      </c>
      <c r="I31" s="142">
        <v>14931.05</v>
      </c>
      <c r="J31" s="142">
        <v>10417</v>
      </c>
      <c r="K31" s="142">
        <v>2625</v>
      </c>
      <c r="L31" s="142">
        <v>10417</v>
      </c>
      <c r="M31" s="142">
        <v>31743.759999999998</v>
      </c>
      <c r="N31" s="142">
        <v>10417</v>
      </c>
      <c r="O31" s="142">
        <v>0</v>
      </c>
      <c r="P31" s="142">
        <v>10417</v>
      </c>
      <c r="Q31" s="142">
        <v>0</v>
      </c>
      <c r="R31" s="142">
        <v>10417</v>
      </c>
      <c r="S31" s="142">
        <f>2400+16730</f>
        <v>19130</v>
      </c>
      <c r="T31" s="142">
        <v>10417</v>
      </c>
      <c r="U31" s="142">
        <v>14596.94</v>
      </c>
      <c r="V31" s="142">
        <v>10417</v>
      </c>
      <c r="W31" s="142">
        <v>4580.01</v>
      </c>
      <c r="X31" s="142">
        <v>10417</v>
      </c>
      <c r="Y31" s="142">
        <v>5138.96</v>
      </c>
      <c r="Z31" s="142">
        <f t="shared" si="0"/>
        <v>112745.72</v>
      </c>
      <c r="AA31" s="142">
        <v>125004</v>
      </c>
      <c r="AB31" s="142">
        <v>125004</v>
      </c>
      <c r="AC31" s="142">
        <f t="shared" si="1"/>
        <v>12258.279999999999</v>
      </c>
    </row>
    <row r="32" spans="1:29" x14ac:dyDescent="0.35">
      <c r="A32" s="4" t="s">
        <v>122</v>
      </c>
      <c r="B32" s="10">
        <v>7500</v>
      </c>
      <c r="C32" s="142">
        <v>0</v>
      </c>
      <c r="D32" s="142">
        <v>7500</v>
      </c>
      <c r="E32" s="142">
        <v>0</v>
      </c>
      <c r="F32" s="142">
        <v>7500</v>
      </c>
      <c r="G32" s="142">
        <v>0</v>
      </c>
      <c r="H32" s="142">
        <v>7500</v>
      </c>
      <c r="I32" s="142">
        <v>0</v>
      </c>
      <c r="J32" s="142">
        <v>7500</v>
      </c>
      <c r="K32" s="142">
        <v>0</v>
      </c>
      <c r="L32" s="142">
        <v>7500</v>
      </c>
      <c r="M32" s="142">
        <v>0</v>
      </c>
      <c r="N32" s="142">
        <v>7500</v>
      </c>
      <c r="O32" s="142">
        <v>0</v>
      </c>
      <c r="P32" s="142">
        <v>7500</v>
      </c>
      <c r="Q32" s="142">
        <v>0</v>
      </c>
      <c r="R32" s="142">
        <v>7500</v>
      </c>
      <c r="S32" s="142">
        <v>0</v>
      </c>
      <c r="T32" s="142">
        <v>7500</v>
      </c>
      <c r="U32" s="142">
        <v>0</v>
      </c>
      <c r="V32" s="142">
        <v>7500</v>
      </c>
      <c r="W32" s="142">
        <v>0</v>
      </c>
      <c r="X32" s="142">
        <v>7500</v>
      </c>
      <c r="Y32" s="142">
        <v>0</v>
      </c>
      <c r="Z32" s="142">
        <f t="shared" si="0"/>
        <v>0</v>
      </c>
      <c r="AA32" s="142">
        <v>90000</v>
      </c>
      <c r="AB32" s="142">
        <v>90000</v>
      </c>
      <c r="AC32" s="142">
        <f t="shared" si="1"/>
        <v>90000</v>
      </c>
    </row>
    <row r="33" spans="1:29" x14ac:dyDescent="0.35">
      <c r="A33" s="4" t="s">
        <v>123</v>
      </c>
      <c r="B33" s="10">
        <v>7500</v>
      </c>
      <c r="C33" s="142">
        <v>0</v>
      </c>
      <c r="D33" s="142">
        <v>7500</v>
      </c>
      <c r="E33" s="142">
        <v>0</v>
      </c>
      <c r="F33" s="142">
        <v>7500</v>
      </c>
      <c r="G33" s="142">
        <v>0</v>
      </c>
      <c r="H33" s="142">
        <v>7500</v>
      </c>
      <c r="I33" s="142">
        <v>0</v>
      </c>
      <c r="J33" s="142">
        <v>7500</v>
      </c>
      <c r="K33" s="142">
        <v>0</v>
      </c>
      <c r="L33" s="142">
        <v>7500</v>
      </c>
      <c r="M33" s="142">
        <v>0</v>
      </c>
      <c r="N33" s="142">
        <v>7500</v>
      </c>
      <c r="O33" s="142">
        <v>0</v>
      </c>
      <c r="P33" s="142">
        <v>7500</v>
      </c>
      <c r="Q33" s="142">
        <v>0</v>
      </c>
      <c r="R33" s="142">
        <v>7500</v>
      </c>
      <c r="S33" s="142">
        <v>4092</v>
      </c>
      <c r="T33" s="142">
        <v>7500</v>
      </c>
      <c r="U33" s="142">
        <v>8363.93</v>
      </c>
      <c r="V33" s="142">
        <v>7500</v>
      </c>
      <c r="W33" s="142">
        <f>2989.15+12086.05</f>
        <v>15075.199999999999</v>
      </c>
      <c r="X33" s="142">
        <v>7500</v>
      </c>
      <c r="Y33" s="142">
        <v>4492.37</v>
      </c>
      <c r="Z33" s="142">
        <f t="shared" si="0"/>
        <v>32023.5</v>
      </c>
      <c r="AA33" s="142">
        <v>90000</v>
      </c>
      <c r="AB33" s="142">
        <v>90000</v>
      </c>
      <c r="AC33" s="142">
        <f t="shared" si="1"/>
        <v>57976.5</v>
      </c>
    </row>
    <row r="34" spans="1:29" x14ac:dyDescent="0.35">
      <c r="A34" s="4" t="s">
        <v>124</v>
      </c>
      <c r="B34" s="143">
        <f t="shared" ref="B34:X34" si="4">SUM(B27:B33)</f>
        <v>46129</v>
      </c>
      <c r="C34" s="143">
        <f t="shared" si="4"/>
        <v>6250</v>
      </c>
      <c r="D34" s="143">
        <f t="shared" si="4"/>
        <v>46129</v>
      </c>
      <c r="E34" s="143">
        <f t="shared" si="4"/>
        <v>10000</v>
      </c>
      <c r="F34" s="143">
        <f t="shared" si="4"/>
        <v>46129</v>
      </c>
      <c r="G34" s="143">
        <f t="shared" si="4"/>
        <v>16650</v>
      </c>
      <c r="H34" s="143">
        <f t="shared" si="4"/>
        <v>46129</v>
      </c>
      <c r="I34" s="143">
        <f t="shared" si="4"/>
        <v>33056.050000000003</v>
      </c>
      <c r="J34" s="143">
        <f t="shared" si="4"/>
        <v>61080</v>
      </c>
      <c r="K34" s="143">
        <f t="shared" si="4"/>
        <v>2625</v>
      </c>
      <c r="L34" s="143">
        <f t="shared" si="4"/>
        <v>61080</v>
      </c>
      <c r="M34" s="143">
        <f t="shared" si="4"/>
        <v>31743.759999999998</v>
      </c>
      <c r="N34" s="143">
        <f t="shared" si="4"/>
        <v>66846</v>
      </c>
      <c r="O34" s="143">
        <f t="shared" si="4"/>
        <v>7500</v>
      </c>
      <c r="P34" s="143">
        <f t="shared" si="4"/>
        <v>66846</v>
      </c>
      <c r="Q34" s="143">
        <f t="shared" si="4"/>
        <v>4000</v>
      </c>
      <c r="R34" s="143">
        <f t="shared" si="4"/>
        <v>66846</v>
      </c>
      <c r="S34" s="143">
        <f t="shared" si="4"/>
        <v>37972</v>
      </c>
      <c r="T34" s="143">
        <f t="shared" si="4"/>
        <v>66846</v>
      </c>
      <c r="U34" s="143">
        <f t="shared" si="4"/>
        <v>31520.870000000003</v>
      </c>
      <c r="V34" s="143">
        <f t="shared" si="4"/>
        <v>66846</v>
      </c>
      <c r="W34" s="143">
        <f t="shared" si="4"/>
        <v>24030.21</v>
      </c>
      <c r="X34" s="143">
        <f t="shared" si="4"/>
        <v>66846</v>
      </c>
      <c r="Y34" s="143">
        <f>SUM(Y27:Y33)</f>
        <v>75586.150000000009</v>
      </c>
      <c r="Z34" s="143">
        <f t="shared" si="0"/>
        <v>280934.04000000004</v>
      </c>
      <c r="AA34" s="143">
        <v>810900</v>
      </c>
      <c r="AB34" s="143">
        <v>707752</v>
      </c>
      <c r="AC34" s="143">
        <f t="shared" si="1"/>
        <v>529965.96</v>
      </c>
    </row>
    <row r="35" spans="1:29" x14ac:dyDescent="0.35">
      <c r="A35" s="4" t="s">
        <v>125</v>
      </c>
      <c r="B35" s="11" t="s">
        <v>104</v>
      </c>
      <c r="C35" s="144" t="s">
        <v>104</v>
      </c>
      <c r="D35" s="144" t="s">
        <v>104</v>
      </c>
      <c r="E35" s="144" t="s">
        <v>104</v>
      </c>
      <c r="F35" s="144" t="s">
        <v>104</v>
      </c>
      <c r="G35" s="144" t="s">
        <v>104</v>
      </c>
      <c r="H35" s="144" t="s">
        <v>104</v>
      </c>
      <c r="I35" s="144" t="s">
        <v>104</v>
      </c>
      <c r="J35" s="144" t="s">
        <v>104</v>
      </c>
      <c r="K35" s="144" t="s">
        <v>104</v>
      </c>
      <c r="L35" s="144" t="s">
        <v>104</v>
      </c>
      <c r="M35" s="144" t="s">
        <v>104</v>
      </c>
      <c r="N35" s="144" t="s">
        <v>104</v>
      </c>
      <c r="O35" s="144" t="s">
        <v>104</v>
      </c>
      <c r="P35" s="144" t="s">
        <v>104</v>
      </c>
      <c r="Q35" s="144" t="s">
        <v>104</v>
      </c>
      <c r="R35" s="144" t="s">
        <v>104</v>
      </c>
      <c r="S35" s="144" t="s">
        <v>104</v>
      </c>
      <c r="T35" s="144" t="s">
        <v>104</v>
      </c>
      <c r="U35" s="144" t="s">
        <v>104</v>
      </c>
      <c r="V35" s="144" t="s">
        <v>104</v>
      </c>
      <c r="W35" s="144" t="s">
        <v>104</v>
      </c>
      <c r="X35" s="144" t="s">
        <v>104</v>
      </c>
      <c r="Y35" s="144" t="s">
        <v>104</v>
      </c>
      <c r="Z35" s="144"/>
      <c r="AA35" s="144" t="s">
        <v>104</v>
      </c>
      <c r="AB35" s="144" t="s">
        <v>104</v>
      </c>
      <c r="AC35" s="144"/>
    </row>
    <row r="36" spans="1:29" x14ac:dyDescent="0.35">
      <c r="A36" s="4" t="s">
        <v>105</v>
      </c>
      <c r="B36" s="10">
        <v>12375</v>
      </c>
      <c r="C36" s="142">
        <v>18987.5</v>
      </c>
      <c r="D36" s="142">
        <v>12375</v>
      </c>
      <c r="E36" s="142">
        <v>0</v>
      </c>
      <c r="F36" s="142">
        <v>12375</v>
      </c>
      <c r="G36" s="142">
        <v>0</v>
      </c>
      <c r="H36" s="142">
        <v>12375</v>
      </c>
      <c r="I36" s="142">
        <v>0</v>
      </c>
      <c r="J36" s="142">
        <v>16219</v>
      </c>
      <c r="K36" s="142">
        <v>24503.08</v>
      </c>
      <c r="L36" s="142">
        <v>16219</v>
      </c>
      <c r="M36" s="142">
        <v>34779.279999999999</v>
      </c>
      <c r="N36" s="142">
        <v>25830</v>
      </c>
      <c r="O36" s="142">
        <v>38589.42</v>
      </c>
      <c r="P36" s="142">
        <v>25830</v>
      </c>
      <c r="Q36" s="142">
        <v>30752.91</v>
      </c>
      <c r="R36" s="142">
        <v>25830</v>
      </c>
      <c r="S36" s="142">
        <v>44862.18</v>
      </c>
      <c r="T36" s="142">
        <v>25830</v>
      </c>
      <c r="U36" s="142">
        <v>27663.75</v>
      </c>
      <c r="V36" s="142">
        <v>25830</v>
      </c>
      <c r="W36" s="142">
        <v>20116.740000000002</v>
      </c>
      <c r="X36" s="142">
        <v>25830</v>
      </c>
      <c r="Y36" s="142">
        <v>33171.79</v>
      </c>
      <c r="Z36" s="142">
        <f t="shared" si="0"/>
        <v>273426.64999999997</v>
      </c>
      <c r="AA36" s="142">
        <v>319200</v>
      </c>
      <c r="AB36" s="142">
        <v>236918</v>
      </c>
      <c r="AC36" s="142">
        <f t="shared" si="1"/>
        <v>45773.350000000035</v>
      </c>
    </row>
    <row r="37" spans="1:29" x14ac:dyDescent="0.35">
      <c r="A37" s="4" t="s">
        <v>126</v>
      </c>
      <c r="B37" s="10">
        <v>6667</v>
      </c>
      <c r="C37" s="142">
        <v>0</v>
      </c>
      <c r="D37" s="142">
        <v>6667</v>
      </c>
      <c r="E37" s="142">
        <v>0</v>
      </c>
      <c r="F37" s="142">
        <v>6667</v>
      </c>
      <c r="G37" s="142">
        <v>0</v>
      </c>
      <c r="H37" s="142">
        <v>6667</v>
      </c>
      <c r="I37" s="142">
        <v>0</v>
      </c>
      <c r="J37" s="142">
        <v>6667</v>
      </c>
      <c r="K37" s="142">
        <v>0</v>
      </c>
      <c r="L37" s="142">
        <v>6667</v>
      </c>
      <c r="M37" s="142">
        <v>390</v>
      </c>
      <c r="N37" s="142">
        <v>6667</v>
      </c>
      <c r="O37" s="142">
        <v>61.49</v>
      </c>
      <c r="P37" s="142">
        <v>6667</v>
      </c>
      <c r="Q37" s="142">
        <v>2953</v>
      </c>
      <c r="R37" s="142">
        <v>6667</v>
      </c>
      <c r="S37" s="142">
        <v>158.74</v>
      </c>
      <c r="T37" s="142">
        <v>6667</v>
      </c>
      <c r="U37" s="142">
        <v>2800.56</v>
      </c>
      <c r="V37" s="142">
        <v>6667</v>
      </c>
      <c r="W37" s="142">
        <v>19870.8</v>
      </c>
      <c r="X37" s="142">
        <v>6667</v>
      </c>
      <c r="Y37" s="142">
        <v>26909.17</v>
      </c>
      <c r="Z37" s="142">
        <f t="shared" si="0"/>
        <v>53143.759999999995</v>
      </c>
      <c r="AA37" s="142">
        <v>80004</v>
      </c>
      <c r="AB37" s="142">
        <v>80004</v>
      </c>
      <c r="AC37" s="142">
        <f t="shared" si="1"/>
        <v>26860.240000000005</v>
      </c>
    </row>
    <row r="38" spans="1:29" x14ac:dyDescent="0.35">
      <c r="A38" s="4" t="s">
        <v>127</v>
      </c>
      <c r="B38" s="10">
        <v>7083</v>
      </c>
      <c r="C38" s="142">
        <v>0</v>
      </c>
      <c r="D38" s="142">
        <v>7083</v>
      </c>
      <c r="E38" s="142">
        <v>0</v>
      </c>
      <c r="F38" s="142">
        <v>7083</v>
      </c>
      <c r="G38" s="142">
        <v>0</v>
      </c>
      <c r="H38" s="142">
        <v>7083</v>
      </c>
      <c r="I38" s="142">
        <v>0</v>
      </c>
      <c r="J38" s="142">
        <v>7083</v>
      </c>
      <c r="K38" s="142">
        <v>17000</v>
      </c>
      <c r="L38" s="142">
        <v>7083</v>
      </c>
      <c r="M38" s="142">
        <v>0</v>
      </c>
      <c r="N38" s="142">
        <v>7083</v>
      </c>
      <c r="O38" s="142">
        <v>0</v>
      </c>
      <c r="P38" s="142">
        <v>7083</v>
      </c>
      <c r="Q38" s="142">
        <v>0</v>
      </c>
      <c r="R38" s="142">
        <v>7083</v>
      </c>
      <c r="S38" s="142">
        <v>0</v>
      </c>
      <c r="T38" s="142">
        <v>7083</v>
      </c>
      <c r="U38" s="142">
        <v>0</v>
      </c>
      <c r="V38" s="142">
        <v>7083</v>
      </c>
      <c r="W38" s="142">
        <v>0</v>
      </c>
      <c r="X38" s="142">
        <v>7083</v>
      </c>
      <c r="Y38" s="142">
        <v>0</v>
      </c>
      <c r="Z38" s="142">
        <f t="shared" si="0"/>
        <v>17000</v>
      </c>
      <c r="AA38" s="142">
        <v>84996</v>
      </c>
      <c r="AB38" s="142">
        <v>84996</v>
      </c>
      <c r="AC38" s="142">
        <f t="shared" si="1"/>
        <v>67996</v>
      </c>
    </row>
    <row r="39" spans="1:29" x14ac:dyDescent="0.35">
      <c r="A39" s="4" t="s">
        <v>128</v>
      </c>
      <c r="B39" s="143">
        <f t="shared" ref="B39:X39" si="5">SUM(B36:B38)</f>
        <v>26125</v>
      </c>
      <c r="C39" s="143">
        <f t="shared" si="5"/>
        <v>18987.5</v>
      </c>
      <c r="D39" s="143">
        <f t="shared" si="5"/>
        <v>26125</v>
      </c>
      <c r="E39" s="143">
        <f t="shared" si="5"/>
        <v>0</v>
      </c>
      <c r="F39" s="143">
        <f t="shared" si="5"/>
        <v>26125</v>
      </c>
      <c r="G39" s="143">
        <f t="shared" si="5"/>
        <v>0</v>
      </c>
      <c r="H39" s="143">
        <f t="shared" si="5"/>
        <v>26125</v>
      </c>
      <c r="I39" s="143">
        <f t="shared" si="5"/>
        <v>0</v>
      </c>
      <c r="J39" s="143">
        <f t="shared" si="5"/>
        <v>29969</v>
      </c>
      <c r="K39" s="143">
        <f t="shared" si="5"/>
        <v>41503.08</v>
      </c>
      <c r="L39" s="143">
        <f t="shared" si="5"/>
        <v>29969</v>
      </c>
      <c r="M39" s="143">
        <f t="shared" si="5"/>
        <v>35169.279999999999</v>
      </c>
      <c r="N39" s="143">
        <f t="shared" si="5"/>
        <v>39580</v>
      </c>
      <c r="O39" s="143">
        <f t="shared" si="5"/>
        <v>38650.909999999996</v>
      </c>
      <c r="P39" s="143">
        <f t="shared" si="5"/>
        <v>39580</v>
      </c>
      <c r="Q39" s="143">
        <f t="shared" si="5"/>
        <v>33705.910000000003</v>
      </c>
      <c r="R39" s="143">
        <f t="shared" si="5"/>
        <v>39580</v>
      </c>
      <c r="S39" s="143">
        <f t="shared" si="5"/>
        <v>45020.92</v>
      </c>
      <c r="T39" s="143">
        <f t="shared" si="5"/>
        <v>39580</v>
      </c>
      <c r="U39" s="143">
        <f t="shared" si="5"/>
        <v>30464.31</v>
      </c>
      <c r="V39" s="143">
        <f t="shared" si="5"/>
        <v>39580</v>
      </c>
      <c r="W39" s="143">
        <f t="shared" si="5"/>
        <v>39987.54</v>
      </c>
      <c r="X39" s="143">
        <f t="shared" si="5"/>
        <v>39580</v>
      </c>
      <c r="Y39" s="143">
        <f>SUM(Y36:Y38)</f>
        <v>60080.959999999999</v>
      </c>
      <c r="Z39" s="143">
        <f t="shared" si="0"/>
        <v>343570.41</v>
      </c>
      <c r="AA39" s="143">
        <v>484200</v>
      </c>
      <c r="AB39" s="143">
        <v>401918</v>
      </c>
      <c r="AC39" s="143">
        <f t="shared" si="1"/>
        <v>140629.59000000003</v>
      </c>
    </row>
    <row r="40" spans="1:29" x14ac:dyDescent="0.35">
      <c r="A40" s="4" t="s">
        <v>129</v>
      </c>
      <c r="B40" s="11" t="s">
        <v>104</v>
      </c>
      <c r="C40" s="144" t="s">
        <v>104</v>
      </c>
      <c r="D40" s="144" t="s">
        <v>104</v>
      </c>
      <c r="E40" s="144" t="s">
        <v>104</v>
      </c>
      <c r="F40" s="144" t="s">
        <v>104</v>
      </c>
      <c r="G40" s="144" t="s">
        <v>104</v>
      </c>
      <c r="H40" s="144" t="s">
        <v>104</v>
      </c>
      <c r="I40" s="144" t="s">
        <v>104</v>
      </c>
      <c r="J40" s="144" t="s">
        <v>104</v>
      </c>
      <c r="K40" s="144" t="s">
        <v>104</v>
      </c>
      <c r="L40" s="144" t="s">
        <v>104</v>
      </c>
      <c r="M40" s="144" t="s">
        <v>104</v>
      </c>
      <c r="N40" s="144" t="s">
        <v>104</v>
      </c>
      <c r="O40" s="144" t="s">
        <v>104</v>
      </c>
      <c r="P40" s="144" t="s">
        <v>104</v>
      </c>
      <c r="Q40" s="144" t="s">
        <v>104</v>
      </c>
      <c r="R40" s="144" t="s">
        <v>104</v>
      </c>
      <c r="S40" s="144" t="s">
        <v>104</v>
      </c>
      <c r="T40" s="144" t="s">
        <v>104</v>
      </c>
      <c r="U40" s="144" t="s">
        <v>104</v>
      </c>
      <c r="V40" s="144" t="s">
        <v>104</v>
      </c>
      <c r="W40" s="144" t="s">
        <v>104</v>
      </c>
      <c r="X40" s="144" t="s">
        <v>104</v>
      </c>
      <c r="Y40" s="144" t="s">
        <v>104</v>
      </c>
      <c r="Z40" s="144"/>
      <c r="AA40" s="144" t="s">
        <v>104</v>
      </c>
      <c r="AB40" s="144" t="s">
        <v>104</v>
      </c>
      <c r="AC40" s="144"/>
    </row>
    <row r="41" spans="1:29" x14ac:dyDescent="0.35">
      <c r="A41" s="4" t="s">
        <v>105</v>
      </c>
      <c r="B41" s="10">
        <v>45354</v>
      </c>
      <c r="C41" s="142">
        <v>50680.38</v>
      </c>
      <c r="D41" s="142">
        <v>45354</v>
      </c>
      <c r="E41" s="142">
        <v>38370.14</v>
      </c>
      <c r="F41" s="142">
        <v>45354</v>
      </c>
      <c r="G41" s="142">
        <v>58504.38</v>
      </c>
      <c r="H41" s="142">
        <v>57973</v>
      </c>
      <c r="I41" s="142">
        <v>52211.1</v>
      </c>
      <c r="J41" s="142">
        <v>57973</v>
      </c>
      <c r="K41" s="142">
        <v>39355.43</v>
      </c>
      <c r="L41" s="142">
        <v>57973</v>
      </c>
      <c r="M41" s="142">
        <v>57087.92</v>
      </c>
      <c r="N41" s="142">
        <v>52973</v>
      </c>
      <c r="O41" s="142">
        <v>79350.990000000005</v>
      </c>
      <c r="P41" s="142">
        <v>52973</v>
      </c>
      <c r="Q41" s="142">
        <v>39259.019999999997</v>
      </c>
      <c r="R41" s="142">
        <v>52973</v>
      </c>
      <c r="S41" s="142">
        <f>41451.08-3052</f>
        <v>38399.08</v>
      </c>
      <c r="T41" s="142">
        <v>52973</v>
      </c>
      <c r="U41" s="142">
        <v>34736.67</v>
      </c>
      <c r="V41" s="142">
        <v>52973</v>
      </c>
      <c r="W41" s="142">
        <v>27692.39</v>
      </c>
      <c r="X41" s="142">
        <v>52973</v>
      </c>
      <c r="Y41" s="142">
        <f>50901.05+600+8.95</f>
        <v>51510</v>
      </c>
      <c r="Z41" s="142">
        <f t="shared" si="0"/>
        <v>567157.5</v>
      </c>
      <c r="AA41" s="142">
        <v>711854</v>
      </c>
      <c r="AB41" s="142">
        <v>627819</v>
      </c>
      <c r="AC41" s="142">
        <f t="shared" si="1"/>
        <v>144696.5</v>
      </c>
    </row>
    <row r="42" spans="1:29" x14ac:dyDescent="0.35">
      <c r="A42" s="4" t="s">
        <v>130</v>
      </c>
      <c r="B42" s="10">
        <v>1500</v>
      </c>
      <c r="C42" s="142">
        <v>1634.59</v>
      </c>
      <c r="D42" s="142">
        <v>1500</v>
      </c>
      <c r="E42" s="142">
        <v>1634.59</v>
      </c>
      <c r="F42" s="142">
        <v>1500</v>
      </c>
      <c r="G42" s="142">
        <v>1634.59</v>
      </c>
      <c r="H42" s="142">
        <v>1500</v>
      </c>
      <c r="I42" s="142">
        <v>1759.8</v>
      </c>
      <c r="J42" s="142">
        <v>1500</v>
      </c>
      <c r="K42" s="142">
        <v>1760.74</v>
      </c>
      <c r="L42" s="142">
        <v>1500</v>
      </c>
      <c r="M42" s="142">
        <v>1846.81</v>
      </c>
      <c r="N42" s="142">
        <v>20000</v>
      </c>
      <c r="O42" s="142">
        <v>2210.7399999999998</v>
      </c>
      <c r="P42" s="142">
        <v>10000</v>
      </c>
      <c r="Q42" s="142">
        <v>0</v>
      </c>
      <c r="R42" s="142">
        <v>10000</v>
      </c>
      <c r="S42" s="142">
        <v>0</v>
      </c>
      <c r="T42" s="142">
        <v>10000</v>
      </c>
      <c r="U42" s="142">
        <v>655.53</v>
      </c>
      <c r="V42" s="142">
        <v>10000</v>
      </c>
      <c r="W42" s="142">
        <v>3230.22</v>
      </c>
      <c r="X42" s="142">
        <v>10000</v>
      </c>
      <c r="Y42" s="142">
        <v>1500</v>
      </c>
      <c r="Z42" s="142">
        <f t="shared" si="0"/>
        <v>17867.609999999997</v>
      </c>
      <c r="AA42" s="142">
        <v>100000</v>
      </c>
      <c r="AB42" s="142">
        <v>79000</v>
      </c>
      <c r="AC42" s="142">
        <f t="shared" si="1"/>
        <v>82132.39</v>
      </c>
    </row>
    <row r="43" spans="1:29" x14ac:dyDescent="0.35">
      <c r="A43" s="4" t="s">
        <v>131</v>
      </c>
      <c r="B43" s="10">
        <v>5833</v>
      </c>
      <c r="C43" s="142">
        <v>0</v>
      </c>
      <c r="D43" s="142">
        <v>5833</v>
      </c>
      <c r="E43" s="142">
        <v>0</v>
      </c>
      <c r="F43" s="142">
        <v>5833</v>
      </c>
      <c r="G43" s="142">
        <v>0</v>
      </c>
      <c r="H43" s="142">
        <v>5833</v>
      </c>
      <c r="I43" s="142">
        <v>3830.2</v>
      </c>
      <c r="J43" s="142">
        <v>5833</v>
      </c>
      <c r="K43" s="142">
        <v>0</v>
      </c>
      <c r="L43" s="142">
        <v>5833</v>
      </c>
      <c r="M43" s="142">
        <v>0</v>
      </c>
      <c r="N43" s="142">
        <v>5833</v>
      </c>
      <c r="O43" s="142">
        <v>0</v>
      </c>
      <c r="P43" s="142">
        <v>5833</v>
      </c>
      <c r="Q43" s="142">
        <v>0</v>
      </c>
      <c r="R43" s="142">
        <v>5833</v>
      </c>
      <c r="S43" s="142">
        <v>3052</v>
      </c>
      <c r="T43" s="142">
        <v>5833</v>
      </c>
      <c r="U43" s="142">
        <v>0</v>
      </c>
      <c r="V43" s="142">
        <v>5833</v>
      </c>
      <c r="W43" s="142">
        <v>0</v>
      </c>
      <c r="X43" s="142">
        <v>5833</v>
      </c>
      <c r="Y43" s="142">
        <v>0</v>
      </c>
      <c r="Z43" s="142">
        <f t="shared" si="0"/>
        <v>6882.2</v>
      </c>
      <c r="AA43" s="142">
        <v>69996</v>
      </c>
      <c r="AB43" s="142">
        <v>69996</v>
      </c>
      <c r="AC43" s="142">
        <f t="shared" si="1"/>
        <v>63113.8</v>
      </c>
    </row>
    <row r="44" spans="1:29" x14ac:dyDescent="0.35">
      <c r="A44" s="4" t="s">
        <v>132</v>
      </c>
      <c r="B44" s="10">
        <v>7680</v>
      </c>
      <c r="C44" s="142">
        <v>7680</v>
      </c>
      <c r="D44" s="142">
        <v>7680</v>
      </c>
      <c r="E44" s="142">
        <v>7680</v>
      </c>
      <c r="F44" s="142">
        <v>7680</v>
      </c>
      <c r="G44" s="142">
        <v>7680</v>
      </c>
      <c r="H44" s="142">
        <v>7680</v>
      </c>
      <c r="I44" s="142">
        <v>7680</v>
      </c>
      <c r="J44" s="142">
        <v>7680</v>
      </c>
      <c r="K44" s="142">
        <v>7680</v>
      </c>
      <c r="L44" s="142">
        <v>7680</v>
      </c>
      <c r="M44" s="142">
        <v>7680</v>
      </c>
      <c r="N44" s="142">
        <v>6145</v>
      </c>
      <c r="O44" s="142">
        <v>7680</v>
      </c>
      <c r="P44" s="142">
        <v>6145</v>
      </c>
      <c r="Q44" s="142">
        <v>7680</v>
      </c>
      <c r="R44" s="142">
        <v>6145</v>
      </c>
      <c r="S44" s="142">
        <f>6145+6000</f>
        <v>12145</v>
      </c>
      <c r="T44" s="142">
        <v>6145</v>
      </c>
      <c r="U44" s="142">
        <v>10589.5</v>
      </c>
      <c r="V44" s="142">
        <v>6145</v>
      </c>
      <c r="W44" s="142">
        <f>6145+14550</f>
        <v>20695</v>
      </c>
      <c r="X44" s="142">
        <v>6145</v>
      </c>
      <c r="Y44" s="142">
        <v>14550</v>
      </c>
      <c r="Z44" s="142">
        <f t="shared" si="0"/>
        <v>119419.5</v>
      </c>
      <c r="AA44" s="142">
        <v>20600</v>
      </c>
      <c r="AB44" s="142">
        <v>82950</v>
      </c>
      <c r="AC44" s="142">
        <f t="shared" si="1"/>
        <v>-98819.5</v>
      </c>
    </row>
    <row r="45" spans="1:29" x14ac:dyDescent="0.35">
      <c r="A45" s="4" t="s">
        <v>133</v>
      </c>
      <c r="B45" s="10">
        <v>2500</v>
      </c>
      <c r="C45" s="142">
        <v>0</v>
      </c>
      <c r="D45" s="142">
        <v>2500</v>
      </c>
      <c r="E45" s="142">
        <v>0</v>
      </c>
      <c r="F45" s="142">
        <v>2500</v>
      </c>
      <c r="G45" s="142">
        <v>0</v>
      </c>
      <c r="H45" s="142">
        <v>2500</v>
      </c>
      <c r="I45" s="142">
        <v>0</v>
      </c>
      <c r="J45" s="142">
        <v>2500</v>
      </c>
      <c r="K45" s="142">
        <v>0</v>
      </c>
      <c r="L45" s="142">
        <v>2500</v>
      </c>
      <c r="M45" s="142">
        <v>0</v>
      </c>
      <c r="N45" s="142">
        <v>2500</v>
      </c>
      <c r="O45" s="142">
        <v>0</v>
      </c>
      <c r="P45" s="142">
        <v>2500</v>
      </c>
      <c r="Q45" s="142">
        <v>0</v>
      </c>
      <c r="R45" s="142">
        <v>2500</v>
      </c>
      <c r="S45" s="142">
        <v>0</v>
      </c>
      <c r="T45" s="142">
        <v>2500</v>
      </c>
      <c r="U45" s="142">
        <v>0</v>
      </c>
      <c r="V45" s="142">
        <v>2500</v>
      </c>
      <c r="W45" s="142">
        <v>0</v>
      </c>
      <c r="X45" s="142">
        <v>2500</v>
      </c>
      <c r="Y45" s="142">
        <v>0</v>
      </c>
      <c r="Z45" s="142">
        <f t="shared" si="0"/>
        <v>0</v>
      </c>
      <c r="AA45" s="142">
        <v>6000</v>
      </c>
      <c r="AB45" s="142">
        <v>30000</v>
      </c>
      <c r="AC45" s="142">
        <f t="shared" si="1"/>
        <v>6000</v>
      </c>
    </row>
    <row r="46" spans="1:29" x14ac:dyDescent="0.35">
      <c r="A46" s="4" t="s">
        <v>134</v>
      </c>
      <c r="B46" s="10">
        <v>1950</v>
      </c>
      <c r="C46" s="142">
        <v>1970</v>
      </c>
      <c r="D46" s="142">
        <v>1950</v>
      </c>
      <c r="E46" s="142">
        <v>2146.98</v>
      </c>
      <c r="F46" s="142">
        <v>1950</v>
      </c>
      <c r="G46" s="142">
        <v>2147.4699999999998</v>
      </c>
      <c r="H46" s="142">
        <v>1950</v>
      </c>
      <c r="I46" s="142">
        <v>1950</v>
      </c>
      <c r="J46" s="142">
        <v>1950</v>
      </c>
      <c r="K46" s="142">
        <f>2260.48-310.48</f>
        <v>1950</v>
      </c>
      <c r="L46" s="142">
        <v>1950</v>
      </c>
      <c r="M46" s="142">
        <f>2043.5-93.5</f>
        <v>1950</v>
      </c>
      <c r="N46" s="142">
        <v>1950</v>
      </c>
      <c r="O46" s="142">
        <v>1950</v>
      </c>
      <c r="P46" s="142">
        <v>1950</v>
      </c>
      <c r="Q46" s="142">
        <v>1950</v>
      </c>
      <c r="R46" s="142">
        <v>1950</v>
      </c>
      <c r="S46" s="142">
        <f>2081.4-131.4</f>
        <v>1950</v>
      </c>
      <c r="T46" s="142">
        <v>1950</v>
      </c>
      <c r="U46" s="142">
        <v>1950</v>
      </c>
      <c r="V46" s="142">
        <v>1950</v>
      </c>
      <c r="W46" s="142">
        <f>1950+1950</f>
        <v>3900</v>
      </c>
      <c r="X46" s="142">
        <v>1950</v>
      </c>
      <c r="Y46" s="142">
        <v>1950</v>
      </c>
      <c r="Z46" s="142">
        <f t="shared" si="0"/>
        <v>25764.45</v>
      </c>
      <c r="AA46" s="142">
        <v>23400</v>
      </c>
      <c r="AB46" s="142">
        <v>23400</v>
      </c>
      <c r="AC46" s="142">
        <f t="shared" si="1"/>
        <v>-2364.4500000000007</v>
      </c>
    </row>
    <row r="47" spans="1:29" x14ac:dyDescent="0.35">
      <c r="A47" s="4" t="s">
        <v>135</v>
      </c>
      <c r="B47" s="10">
        <v>375</v>
      </c>
      <c r="C47" s="142">
        <v>336</v>
      </c>
      <c r="D47" s="142">
        <v>375</v>
      </c>
      <c r="E47" s="142">
        <v>1673.13</v>
      </c>
      <c r="F47" s="142">
        <v>375</v>
      </c>
      <c r="G47" s="142">
        <v>671.99</v>
      </c>
      <c r="H47" s="142">
        <v>375</v>
      </c>
      <c r="I47" s="142">
        <v>1250.7</v>
      </c>
      <c r="J47" s="142">
        <v>375</v>
      </c>
      <c r="K47" s="142">
        <v>549.4</v>
      </c>
      <c r="L47" s="142">
        <v>375</v>
      </c>
      <c r="M47" s="142">
        <v>2708.36</v>
      </c>
      <c r="N47" s="142">
        <v>375</v>
      </c>
      <c r="O47" s="142">
        <v>1086.19</v>
      </c>
      <c r="P47" s="142">
        <v>375</v>
      </c>
      <c r="Q47" s="142">
        <v>1203.93</v>
      </c>
      <c r="R47" s="142">
        <v>375</v>
      </c>
      <c r="S47" s="142">
        <v>3088.41</v>
      </c>
      <c r="T47" s="142">
        <v>375</v>
      </c>
      <c r="U47" s="142">
        <v>1300.07</v>
      </c>
      <c r="V47" s="142">
        <v>375</v>
      </c>
      <c r="W47" s="142">
        <v>280.73</v>
      </c>
      <c r="X47" s="142">
        <v>375</v>
      </c>
      <c r="Y47" s="142">
        <v>8900.16</v>
      </c>
      <c r="Z47" s="142">
        <f t="shared" si="0"/>
        <v>23049.070000000003</v>
      </c>
      <c r="AA47" s="142">
        <v>0</v>
      </c>
      <c r="AB47" s="142">
        <v>4500</v>
      </c>
      <c r="AC47" s="142">
        <f t="shared" si="1"/>
        <v>-23049.070000000003</v>
      </c>
    </row>
    <row r="48" spans="1:29" x14ac:dyDescent="0.35">
      <c r="A48" s="4" t="s">
        <v>136</v>
      </c>
      <c r="B48" s="10">
        <v>3500</v>
      </c>
      <c r="C48" s="142">
        <v>0</v>
      </c>
      <c r="D48" s="142">
        <v>3500</v>
      </c>
      <c r="E48" s="142">
        <v>13839</v>
      </c>
      <c r="F48" s="142">
        <v>3500</v>
      </c>
      <c r="G48" s="142">
        <v>0</v>
      </c>
      <c r="H48" s="142">
        <v>3500</v>
      </c>
      <c r="I48" s="142">
        <v>475</v>
      </c>
      <c r="J48" s="142">
        <v>3500</v>
      </c>
      <c r="K48" s="142">
        <v>14000</v>
      </c>
      <c r="L48" s="142">
        <v>3500</v>
      </c>
      <c r="M48" s="142">
        <v>3500</v>
      </c>
      <c r="N48" s="142">
        <v>3500</v>
      </c>
      <c r="O48" s="142">
        <v>0</v>
      </c>
      <c r="P48" s="142">
        <v>3500</v>
      </c>
      <c r="Q48" s="142">
        <v>3500</v>
      </c>
      <c r="R48" s="142">
        <v>3500</v>
      </c>
      <c r="S48" s="142">
        <v>3500</v>
      </c>
      <c r="T48" s="142">
        <v>3500</v>
      </c>
      <c r="U48" s="142">
        <v>21143.4</v>
      </c>
      <c r="V48" s="142">
        <v>3500</v>
      </c>
      <c r="W48" s="142">
        <f>3500+286.2</f>
        <v>3786.2</v>
      </c>
      <c r="X48" s="142">
        <v>3500</v>
      </c>
      <c r="Y48" s="142">
        <v>19173.599999999999</v>
      </c>
      <c r="Z48" s="142">
        <f t="shared" si="0"/>
        <v>82917.2</v>
      </c>
      <c r="AA48" s="142">
        <v>0</v>
      </c>
      <c r="AB48" s="142">
        <v>42000</v>
      </c>
      <c r="AC48" s="142">
        <f t="shared" si="1"/>
        <v>-82917.2</v>
      </c>
    </row>
    <row r="49" spans="1:29" x14ac:dyDescent="0.35">
      <c r="A49" s="4" t="s">
        <v>119</v>
      </c>
      <c r="B49" s="10">
        <v>5833</v>
      </c>
      <c r="C49" s="142">
        <v>0</v>
      </c>
      <c r="D49" s="142">
        <v>5833</v>
      </c>
      <c r="E49" s="142">
        <v>2016.11</v>
      </c>
      <c r="F49" s="142">
        <v>5833</v>
      </c>
      <c r="G49" s="142">
        <v>0</v>
      </c>
      <c r="H49" s="142">
        <v>5833</v>
      </c>
      <c r="I49" s="142">
        <v>0</v>
      </c>
      <c r="J49" s="142">
        <v>5833</v>
      </c>
      <c r="K49" s="142">
        <v>7905.05</v>
      </c>
      <c r="L49" s="142">
        <v>5833</v>
      </c>
      <c r="M49" s="142">
        <v>0</v>
      </c>
      <c r="N49" s="142">
        <v>5833</v>
      </c>
      <c r="O49" s="142">
        <v>899.93</v>
      </c>
      <c r="P49" s="142">
        <v>5833</v>
      </c>
      <c r="Q49" s="142">
        <v>4358.96</v>
      </c>
      <c r="R49" s="142">
        <v>5833</v>
      </c>
      <c r="S49" s="142">
        <v>17563.16</v>
      </c>
      <c r="T49" s="142">
        <v>5833</v>
      </c>
      <c r="U49" s="142">
        <v>423.99</v>
      </c>
      <c r="V49" s="142">
        <v>5833</v>
      </c>
      <c r="W49" s="142">
        <v>0</v>
      </c>
      <c r="X49" s="142">
        <v>5833</v>
      </c>
      <c r="Y49" s="142">
        <v>-16730</v>
      </c>
      <c r="Z49" s="142">
        <f t="shared" si="0"/>
        <v>16437.2</v>
      </c>
      <c r="AA49" s="142">
        <v>69996</v>
      </c>
      <c r="AB49" s="142">
        <v>69996</v>
      </c>
      <c r="AC49" s="142">
        <f t="shared" si="1"/>
        <v>53558.8</v>
      </c>
    </row>
    <row r="50" spans="1:29" x14ac:dyDescent="0.35">
      <c r="A50" s="4" t="s">
        <v>118</v>
      </c>
      <c r="B50" s="10">
        <v>3333</v>
      </c>
      <c r="C50" s="142">
        <v>1079.68</v>
      </c>
      <c r="D50" s="142">
        <v>3333</v>
      </c>
      <c r="E50" s="142">
        <v>1090.8699999999999</v>
      </c>
      <c r="F50" s="142">
        <v>3333</v>
      </c>
      <c r="G50" s="142">
        <v>442.99</v>
      </c>
      <c r="H50" s="142">
        <v>3333</v>
      </c>
      <c r="I50" s="142">
        <v>517.24</v>
      </c>
      <c r="J50" s="142">
        <v>3333</v>
      </c>
      <c r="K50" s="142">
        <f>1293.31-128.74</f>
        <v>1164.57</v>
      </c>
      <c r="L50" s="142">
        <v>3333</v>
      </c>
      <c r="M50" s="142">
        <f>1323.35+590.75</f>
        <v>1914.1</v>
      </c>
      <c r="N50" s="142">
        <v>3333</v>
      </c>
      <c r="O50" s="142">
        <v>1883.61</v>
      </c>
      <c r="P50" s="142">
        <v>3333</v>
      </c>
      <c r="Q50" s="142">
        <v>2365.2800000000002</v>
      </c>
      <c r="R50" s="142">
        <v>3333</v>
      </c>
      <c r="S50" s="142">
        <v>2629.28</v>
      </c>
      <c r="T50" s="142">
        <v>3333</v>
      </c>
      <c r="U50" s="142">
        <v>4802.84</v>
      </c>
      <c r="V50" s="142">
        <v>3333</v>
      </c>
      <c r="W50" s="142">
        <v>1902.54</v>
      </c>
      <c r="X50" s="142">
        <v>3333</v>
      </c>
      <c r="Y50" s="142">
        <f>2837.61+149.99</f>
        <v>2987.6000000000004</v>
      </c>
      <c r="Z50" s="142">
        <f t="shared" si="0"/>
        <v>22780.600000000002</v>
      </c>
      <c r="AA50" s="142">
        <v>39996</v>
      </c>
      <c r="AB50" s="142">
        <v>39996</v>
      </c>
      <c r="AC50" s="142">
        <f t="shared" si="1"/>
        <v>17215.399999999998</v>
      </c>
    </row>
    <row r="51" spans="1:29" x14ac:dyDescent="0.35">
      <c r="A51" s="4" t="s">
        <v>137</v>
      </c>
      <c r="B51" s="10">
        <v>5834</v>
      </c>
      <c r="C51" s="142">
        <v>2613.11</v>
      </c>
      <c r="D51" s="142">
        <v>5834</v>
      </c>
      <c r="E51" s="142">
        <v>1024.18</v>
      </c>
      <c r="F51" s="142">
        <v>5834</v>
      </c>
      <c r="G51" s="142">
        <v>1072.1400000000001</v>
      </c>
      <c r="H51" s="142">
        <v>5834</v>
      </c>
      <c r="I51" s="142">
        <v>4836.1000000000004</v>
      </c>
      <c r="J51" s="142">
        <v>5834</v>
      </c>
      <c r="K51" s="142">
        <v>714.26</v>
      </c>
      <c r="L51" s="142">
        <v>5834</v>
      </c>
      <c r="M51" s="142">
        <v>2313.0700000000002</v>
      </c>
      <c r="N51" s="142">
        <v>5834</v>
      </c>
      <c r="O51" s="142">
        <v>2746.43</v>
      </c>
      <c r="P51" s="142">
        <v>5834</v>
      </c>
      <c r="Q51" s="142">
        <v>3532.41</v>
      </c>
      <c r="R51" s="142">
        <v>5834</v>
      </c>
      <c r="S51" s="142">
        <v>5292.74</v>
      </c>
      <c r="T51" s="142">
        <v>5834</v>
      </c>
      <c r="U51" s="142">
        <v>1820.29</v>
      </c>
      <c r="V51" s="142">
        <v>5834</v>
      </c>
      <c r="W51" s="142">
        <v>432.63</v>
      </c>
      <c r="X51" s="142">
        <v>5834</v>
      </c>
      <c r="Y51" s="142">
        <v>13676.99</v>
      </c>
      <c r="Z51" s="142">
        <f t="shared" si="0"/>
        <v>40074.35</v>
      </c>
      <c r="AA51" s="142">
        <v>70008</v>
      </c>
      <c r="AB51" s="142">
        <v>70008</v>
      </c>
      <c r="AC51" s="142">
        <f t="shared" si="1"/>
        <v>29933.65</v>
      </c>
    </row>
    <row r="52" spans="1:29" x14ac:dyDescent="0.35">
      <c r="A52" s="4" t="s">
        <v>138</v>
      </c>
      <c r="B52" s="10">
        <v>2500</v>
      </c>
      <c r="C52" s="142">
        <v>0</v>
      </c>
      <c r="D52" s="142">
        <v>2500</v>
      </c>
      <c r="E52" s="142">
        <v>405</v>
      </c>
      <c r="F52" s="142">
        <v>2500</v>
      </c>
      <c r="G52" s="142">
        <v>915</v>
      </c>
      <c r="H52" s="142">
        <v>2500</v>
      </c>
      <c r="I52" s="142">
        <f>1084.98-403.51</f>
        <v>681.47</v>
      </c>
      <c r="J52" s="142">
        <v>2500</v>
      </c>
      <c r="K52" s="142">
        <v>633.51</v>
      </c>
      <c r="L52" s="142">
        <v>2500</v>
      </c>
      <c r="M52" s="142">
        <v>0</v>
      </c>
      <c r="N52" s="142">
        <v>2500</v>
      </c>
      <c r="O52" s="142">
        <v>1625</v>
      </c>
      <c r="P52" s="142">
        <v>2500</v>
      </c>
      <c r="Q52" s="142">
        <v>1890</v>
      </c>
      <c r="R52" s="142">
        <v>2500</v>
      </c>
      <c r="S52" s="142">
        <v>1834.89</v>
      </c>
      <c r="T52" s="142">
        <v>2500</v>
      </c>
      <c r="U52" s="142">
        <v>1890</v>
      </c>
      <c r="V52" s="142">
        <v>2500</v>
      </c>
      <c r="W52" s="142">
        <v>0</v>
      </c>
      <c r="X52" s="142">
        <v>2500</v>
      </c>
      <c r="Y52" s="142">
        <v>0</v>
      </c>
      <c r="Z52" s="142">
        <f t="shared" si="0"/>
        <v>9874.8700000000008</v>
      </c>
      <c r="AA52" s="142">
        <v>0</v>
      </c>
      <c r="AB52" s="142">
        <v>30000</v>
      </c>
      <c r="AC52" s="142">
        <f t="shared" si="1"/>
        <v>-9874.8700000000008</v>
      </c>
    </row>
    <row r="53" spans="1:29" x14ac:dyDescent="0.35">
      <c r="A53" s="4" t="s">
        <v>139</v>
      </c>
      <c r="B53" s="10">
        <v>458</v>
      </c>
      <c r="C53" s="142">
        <v>0</v>
      </c>
      <c r="D53" s="142">
        <v>458</v>
      </c>
      <c r="E53" s="142">
        <v>0</v>
      </c>
      <c r="F53" s="142">
        <v>458</v>
      </c>
      <c r="G53" s="142">
        <v>0</v>
      </c>
      <c r="H53" s="142">
        <v>458</v>
      </c>
      <c r="I53" s="142">
        <v>0</v>
      </c>
      <c r="J53" s="142">
        <v>458</v>
      </c>
      <c r="K53" s="142">
        <v>0</v>
      </c>
      <c r="L53" s="142">
        <v>458</v>
      </c>
      <c r="M53" s="142">
        <v>0</v>
      </c>
      <c r="N53" s="142">
        <v>458</v>
      </c>
      <c r="O53" s="142">
        <v>0</v>
      </c>
      <c r="P53" s="142">
        <v>458</v>
      </c>
      <c r="Q53" s="142">
        <v>0</v>
      </c>
      <c r="R53" s="142">
        <v>458</v>
      </c>
      <c r="S53" s="142">
        <v>0</v>
      </c>
      <c r="T53" s="142">
        <v>458</v>
      </c>
      <c r="U53" s="142">
        <v>0</v>
      </c>
      <c r="V53" s="142">
        <v>458</v>
      </c>
      <c r="W53" s="142">
        <v>0</v>
      </c>
      <c r="X53" s="142">
        <v>458</v>
      </c>
      <c r="Y53" s="142">
        <v>0</v>
      </c>
      <c r="Z53" s="142">
        <f t="shared" si="0"/>
        <v>0</v>
      </c>
      <c r="AA53" s="142">
        <v>0</v>
      </c>
      <c r="AB53" s="142">
        <v>5496</v>
      </c>
      <c r="AC53" s="142">
        <f t="shared" si="1"/>
        <v>0</v>
      </c>
    </row>
    <row r="54" spans="1:29" x14ac:dyDescent="0.35">
      <c r="A54" s="4" t="s">
        <v>140</v>
      </c>
      <c r="B54" s="143">
        <f t="shared" ref="B54:X54" si="6">SUM(B41:B53)</f>
        <v>86650</v>
      </c>
      <c r="C54" s="143">
        <f t="shared" si="6"/>
        <v>65993.759999999995</v>
      </c>
      <c r="D54" s="143">
        <f t="shared" si="6"/>
        <v>86650</v>
      </c>
      <c r="E54" s="143">
        <f t="shared" si="6"/>
        <v>69879.999999999985</v>
      </c>
      <c r="F54" s="143">
        <f t="shared" si="6"/>
        <v>86650</v>
      </c>
      <c r="G54" s="143">
        <f t="shared" si="6"/>
        <v>73068.560000000012</v>
      </c>
      <c r="H54" s="143">
        <f t="shared" si="6"/>
        <v>99269</v>
      </c>
      <c r="I54" s="143">
        <f t="shared" si="6"/>
        <v>75191.610000000015</v>
      </c>
      <c r="J54" s="143">
        <f t="shared" si="6"/>
        <v>99269</v>
      </c>
      <c r="K54" s="143">
        <f t="shared" si="6"/>
        <v>75712.959999999992</v>
      </c>
      <c r="L54" s="143">
        <f t="shared" si="6"/>
        <v>99269</v>
      </c>
      <c r="M54" s="143">
        <f t="shared" si="6"/>
        <v>79000.260000000009</v>
      </c>
      <c r="N54" s="143">
        <f t="shared" si="6"/>
        <v>111234</v>
      </c>
      <c r="O54" s="143">
        <f t="shared" si="6"/>
        <v>99432.89</v>
      </c>
      <c r="P54" s="143">
        <f t="shared" si="6"/>
        <v>101234</v>
      </c>
      <c r="Q54" s="143">
        <f t="shared" si="6"/>
        <v>65739.599999999991</v>
      </c>
      <c r="R54" s="143">
        <f t="shared" si="6"/>
        <v>101234</v>
      </c>
      <c r="S54" s="143">
        <f t="shared" si="6"/>
        <v>89454.560000000012</v>
      </c>
      <c r="T54" s="143">
        <f t="shared" si="6"/>
        <v>101234</v>
      </c>
      <c r="U54" s="143">
        <f t="shared" si="6"/>
        <v>79312.289999999994</v>
      </c>
      <c r="V54" s="143">
        <f t="shared" si="6"/>
        <v>101234</v>
      </c>
      <c r="W54" s="143">
        <f t="shared" si="6"/>
        <v>61919.71</v>
      </c>
      <c r="X54" s="143">
        <f t="shared" si="6"/>
        <v>101234</v>
      </c>
      <c r="Y54" s="143">
        <f>SUM(Y41:Y53)</f>
        <v>97518.35000000002</v>
      </c>
      <c r="Z54" s="143">
        <f t="shared" si="0"/>
        <v>932224.55</v>
      </c>
      <c r="AA54" s="143">
        <v>1111850</v>
      </c>
      <c r="AB54" s="143">
        <v>1175161</v>
      </c>
      <c r="AC54" s="143">
        <f t="shared" si="1"/>
        <v>179625.44999999995</v>
      </c>
    </row>
    <row r="55" spans="1:29" ht="13.15" thickBot="1" x14ac:dyDescent="0.4">
      <c r="A55" s="4" t="s">
        <v>141</v>
      </c>
      <c r="B55" s="129">
        <v>288872</v>
      </c>
      <c r="C55" s="145">
        <f>C54+C39+C34+C25+C19</f>
        <v>177512.97999999998</v>
      </c>
      <c r="D55" s="145">
        <f t="shared" ref="D55:Z55" si="7">D54+D39+D34+D25+D19</f>
        <v>247750</v>
      </c>
      <c r="E55" s="145">
        <f t="shared" si="7"/>
        <v>187729.42</v>
      </c>
      <c r="F55" s="145">
        <f t="shared" si="7"/>
        <v>247750</v>
      </c>
      <c r="G55" s="145">
        <f t="shared" si="7"/>
        <v>177458.37000000002</v>
      </c>
      <c r="H55" s="145">
        <f t="shared" si="7"/>
        <v>302927</v>
      </c>
      <c r="I55" s="145">
        <f t="shared" si="7"/>
        <v>202321.48</v>
      </c>
      <c r="J55" s="145">
        <f t="shared" si="7"/>
        <v>321722</v>
      </c>
      <c r="K55" s="145">
        <f t="shared" si="7"/>
        <v>234682.22</v>
      </c>
      <c r="L55" s="145">
        <f t="shared" si="7"/>
        <v>321722</v>
      </c>
      <c r="M55" s="145">
        <f t="shared" si="7"/>
        <v>241049.26</v>
      </c>
      <c r="N55" s="145">
        <f t="shared" si="7"/>
        <v>345643</v>
      </c>
      <c r="O55" s="145">
        <f t="shared" si="7"/>
        <v>220318.05999999997</v>
      </c>
      <c r="P55" s="145">
        <f t="shared" si="7"/>
        <v>335643</v>
      </c>
      <c r="Q55" s="145">
        <f t="shared" si="7"/>
        <v>235989.07</v>
      </c>
      <c r="R55" s="145">
        <f t="shared" si="7"/>
        <v>335643</v>
      </c>
      <c r="S55" s="145">
        <f t="shared" si="7"/>
        <v>254704.22000000003</v>
      </c>
      <c r="T55" s="145">
        <f t="shared" si="7"/>
        <v>335643</v>
      </c>
      <c r="U55" s="145">
        <f t="shared" si="7"/>
        <v>245814</v>
      </c>
      <c r="V55" s="145">
        <f t="shared" si="7"/>
        <v>335643</v>
      </c>
      <c r="W55" s="145">
        <f t="shared" si="7"/>
        <v>173926.18999999997</v>
      </c>
      <c r="X55" s="145">
        <f t="shared" ref="X55" si="8">X54+X39+X34+X25+X19</f>
        <v>335643</v>
      </c>
      <c r="Y55" s="145">
        <f t="shared" ref="Y55" si="9">Y54+Y39+Y34+Y25+Y19</f>
        <v>429186.46000000008</v>
      </c>
      <c r="Z55" s="145">
        <f t="shared" si="0"/>
        <v>2780691.7300000004</v>
      </c>
      <c r="AA55" s="145">
        <v>3996150</v>
      </c>
      <c r="AB55" s="145">
        <v>3754601</v>
      </c>
      <c r="AC55" s="145">
        <f t="shared" si="1"/>
        <v>1215458.2699999996</v>
      </c>
    </row>
    <row r="56" spans="1:29" ht="13.15" thickTop="1" x14ac:dyDescent="0.35">
      <c r="A56" s="2" t="s">
        <v>95</v>
      </c>
    </row>
    <row r="57" spans="1:29" x14ac:dyDescent="0.35">
      <c r="A57" s="2" t="s">
        <v>95</v>
      </c>
    </row>
  </sheetData>
  <pageMargins left="0.75" right="0.75" top="1" bottom="1" header="0.5" footer="0.5"/>
  <pageSetup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477FB8-5FE8-4FB7-8CAC-6473C1E19F77}">
  <dimension ref="A1:I44"/>
  <sheetViews>
    <sheetView zoomScaleNormal="100" workbookViewId="0">
      <selection activeCell="J10" sqref="J10"/>
    </sheetView>
  </sheetViews>
  <sheetFormatPr defaultRowHeight="12.75" x14ac:dyDescent="0.35"/>
  <cols>
    <col min="1" max="1" width="28.3984375" customWidth="1"/>
    <col min="2" max="4" width="11.3984375" bestFit="1" customWidth="1"/>
    <col min="5" max="5" width="11.3984375" hidden="1" customWidth="1"/>
    <col min="6" max="6" width="11.3984375" bestFit="1" customWidth="1"/>
    <col min="7" max="7" width="8.73046875" style="96"/>
    <col min="8" max="8" width="9" bestFit="1" customWidth="1"/>
    <col min="9" max="9" width="11.3984375" bestFit="1" customWidth="1"/>
  </cols>
  <sheetData>
    <row r="1" spans="1:8" ht="17.649999999999999" x14ac:dyDescent="0.5">
      <c r="A1" s="95" t="s">
        <v>176</v>
      </c>
      <c r="B1" s="96"/>
      <c r="C1" s="96"/>
      <c r="D1" s="96"/>
      <c r="E1" s="96"/>
      <c r="F1" s="96"/>
    </row>
    <row r="2" spans="1:8" ht="17.649999999999999" x14ac:dyDescent="0.5">
      <c r="A2" s="95" t="s">
        <v>177</v>
      </c>
      <c r="B2" s="96"/>
      <c r="C2" s="96"/>
      <c r="D2" s="96"/>
      <c r="E2" s="96"/>
      <c r="F2" s="96"/>
    </row>
    <row r="3" spans="1:8" x14ac:dyDescent="0.35">
      <c r="A3" s="96"/>
      <c r="B3" s="96"/>
      <c r="C3" s="96"/>
      <c r="D3" s="96"/>
      <c r="E3" s="96"/>
      <c r="F3" s="96"/>
    </row>
    <row r="4" spans="1:8" x14ac:dyDescent="0.35">
      <c r="A4" s="96"/>
      <c r="B4" s="96"/>
      <c r="C4" s="96"/>
      <c r="D4" s="96"/>
      <c r="E4" s="96"/>
      <c r="F4" s="96"/>
    </row>
    <row r="5" spans="1:8" ht="13.15" x14ac:dyDescent="0.4">
      <c r="A5" s="133" t="s">
        <v>96</v>
      </c>
      <c r="B5" s="42" t="s">
        <v>178</v>
      </c>
      <c r="C5" s="42" t="s">
        <v>178</v>
      </c>
      <c r="D5" s="42" t="s">
        <v>178</v>
      </c>
      <c r="E5" s="12" t="s">
        <v>15</v>
      </c>
      <c r="F5" s="42" t="s">
        <v>179</v>
      </c>
    </row>
    <row r="6" spans="1:8" ht="26.25" x14ac:dyDescent="0.4">
      <c r="A6" s="134"/>
      <c r="B6" s="112" t="s">
        <v>193</v>
      </c>
      <c r="C6" s="43" t="s">
        <v>180</v>
      </c>
      <c r="D6" s="43" t="s">
        <v>181</v>
      </c>
      <c r="E6" s="13" t="s">
        <v>182</v>
      </c>
      <c r="F6" s="43" t="s">
        <v>183</v>
      </c>
    </row>
    <row r="7" spans="1:8" ht="13.15" x14ac:dyDescent="0.4">
      <c r="A7" s="14" t="s">
        <v>184</v>
      </c>
      <c r="B7" s="15"/>
      <c r="C7" s="15"/>
      <c r="D7" s="15"/>
      <c r="E7" s="15"/>
      <c r="F7" s="15"/>
    </row>
    <row r="8" spans="1:8" ht="13.9" x14ac:dyDescent="0.4">
      <c r="A8" s="97" t="s">
        <v>185</v>
      </c>
      <c r="B8" s="96"/>
      <c r="C8" s="96"/>
      <c r="D8" s="96"/>
      <c r="E8" s="96"/>
      <c r="F8" s="96"/>
    </row>
    <row r="9" spans="1:8" ht="13.15" x14ac:dyDescent="0.4">
      <c r="A9" s="98" t="s">
        <v>186</v>
      </c>
      <c r="B9" s="99">
        <f>'1.0 TCA- Budget HL'!B9</f>
        <v>4431886.620000001</v>
      </c>
      <c r="C9" s="99">
        <f>'1.0 TCA- Budget HL'!C9</f>
        <v>4128853</v>
      </c>
      <c r="D9" s="99">
        <f>B9</f>
        <v>4431886.620000001</v>
      </c>
      <c r="E9" s="99"/>
      <c r="F9" s="99">
        <f>'FY2025'!H11</f>
        <v>4138703</v>
      </c>
    </row>
    <row r="10" spans="1:8" x14ac:dyDescent="0.35">
      <c r="A10" s="96"/>
      <c r="B10" s="100"/>
      <c r="C10" s="100"/>
      <c r="D10" s="100"/>
      <c r="E10" s="100"/>
      <c r="F10" s="100"/>
      <c r="H10" s="111"/>
    </row>
    <row r="11" spans="1:8" ht="13.9" x14ac:dyDescent="0.4">
      <c r="A11" s="97" t="s">
        <v>187</v>
      </c>
      <c r="B11" s="100"/>
      <c r="C11" s="100"/>
      <c r="D11" s="100"/>
      <c r="E11" s="100"/>
      <c r="F11" s="100"/>
    </row>
    <row r="12" spans="1:8" x14ac:dyDescent="0.35">
      <c r="A12" s="98" t="s">
        <v>188</v>
      </c>
      <c r="B12" s="100">
        <f>'1.0 TCA- Budget HL'!B13+'1.0 TCA- Budget HL'!B22+'1.0 TCA- Budget HL'!B29+'1.0 TCA- Budget HL'!B39+'1.0 TCA- Budget HL'!B45</f>
        <v>1836040.8399999999</v>
      </c>
      <c r="C12" s="100">
        <f>'1.0 TCA- Budget HL'!C13+'1.0 TCA- Budget HL'!C22+'1.0 TCA- Budget HL'!C29+'1.0 TCA- Budget HL'!C39+'1.0 TCA- Budget HL'!C45</f>
        <v>2321142</v>
      </c>
      <c r="D12" s="100">
        <f>'1.0 TCA- Budget HL'!D13+'1.0 TCA- Budget HL'!D22+'1.0 TCA- Budget HL'!D29+'1.0 TCA- Budget HL'!D39+'1.0 TCA- Budget HL'!D45</f>
        <v>1763249.4479999999</v>
      </c>
      <c r="E12" s="100">
        <f>D12-B12</f>
        <v>-72791.391999999993</v>
      </c>
      <c r="F12" s="100">
        <f>'FY2025'!K21+'FY2025'!K22+'FY2025'!K37+'FY2025'!K38+'FY2025'!K49+'FY2025'!K50+'FY2025'!K62+'FY2025'!K63+'FY2025'!K75+'FY2025'!K76</f>
        <v>2061500</v>
      </c>
    </row>
    <row r="13" spans="1:8" x14ac:dyDescent="0.35">
      <c r="A13" s="98" t="s">
        <v>189</v>
      </c>
      <c r="B13" s="101">
        <f>'1.0 TCA- Budget HL'!B14+'1.0 TCA- Budget HL'!B15+'1.0 TCA- Budget HL'!B16+'1.0 TCA- Budget HL'!B17+'1.0 TCA- Budget HL'!B18+'1.0 TCA- Budget HL'!B23+'1.0 TCA- Budget HL'!B24+'1.0 TCA- Budget HL'!B25+'1.0 TCA- Budget HL'!B30+'1.0 TCA- Budget HL'!B31+'1.0 TCA- Budget HL'!B32+'1.0 TCA- Budget HL'!B33+'1.0 TCA- Budget HL'!B34+'1.0 TCA- Budget HL'!B35+'1.0 TCA- Budget HL'!B40+'1.0 TCA- Budget HL'!B41+'1.0 TCA- Budget HL'!B46+'1.0 TCA- Budget HL'!B47+'1.0 TCA- Budget HL'!B48+'1.0 TCA- Budget HL'!B49+'1.0 TCA- Budget HL'!B50+'1.0 TCA- Budget HL'!B51+'1.0 TCA- Budget HL'!B52+'1.0 TCA- Budget HL'!B53+'1.0 TCA- Budget HL'!B54+'1.0 TCA- Budget HL'!B55+'1.0 TCA- Budget HL'!B56+'1.0 TCA- Budget HL'!B57</f>
        <v>944650.88999999966</v>
      </c>
      <c r="C13" s="101">
        <f>'1.0 TCA- Budget HL'!C14+'1.0 TCA- Budget HL'!C15+'1.0 TCA- Budget HL'!C16+'1.0 TCA- Budget HL'!C17+'1.0 TCA- Budget HL'!C18+'1.0 TCA- Budget HL'!C23+'1.0 TCA- Budget HL'!C24+'1.0 TCA- Budget HL'!C25+'1.0 TCA- Budget HL'!C30+'1.0 TCA- Budget HL'!C31+'1.0 TCA- Budget HL'!C32+'1.0 TCA- Budget HL'!C33+'1.0 TCA- Budget HL'!C34+'1.0 TCA- Budget HL'!C35+'1.0 TCA- Budget HL'!C40+'1.0 TCA- Budget HL'!C41+'1.0 TCA- Budget HL'!C46+'1.0 TCA- Budget HL'!C47+'1.0 TCA- Budget HL'!C48+'1.0 TCA- Budget HL'!C49+'1.0 TCA- Budget HL'!C50+'1.0 TCA- Budget HL'!C51+'1.0 TCA- Budget HL'!C52+'1.0 TCA- Budget HL'!C53+'1.0 TCA- Budget HL'!C54+'1.0 TCA- Budget HL'!C55+'1.0 TCA- Budget HL'!C56+'1.0 TCA- Budget HL'!C57</f>
        <v>1675008</v>
      </c>
      <c r="D13" s="101">
        <f>'1.0 TCA- Budget HL'!D14+'1.0 TCA- Budget HL'!D15+'1.0 TCA- Budget HL'!D16+'1.0 TCA- Budget HL'!D17+'1.0 TCA- Budget HL'!D18+'1.0 TCA- Budget HL'!D23+'1.0 TCA- Budget HL'!D24+'1.0 TCA- Budget HL'!D25+'1.0 TCA- Budget HL'!D30+'1.0 TCA- Budget HL'!D31+'1.0 TCA- Budget HL'!D32+'1.0 TCA- Budget HL'!D33+'1.0 TCA- Budget HL'!D34+'1.0 TCA- Budget HL'!D35+'1.0 TCA- Budget HL'!D40+'1.0 TCA- Budget HL'!D41+'1.0 TCA- Budget HL'!D46+'1.0 TCA- Budget HL'!D47+'1.0 TCA- Budget HL'!D48+'1.0 TCA- Budget HL'!D49+'1.0 TCA- Budget HL'!D50+'1.0 TCA- Budget HL'!D51+'1.0 TCA- Budget HL'!D52+'1.0 TCA- Budget HL'!D53+'1.0 TCA- Budget HL'!D54+'1.0 TCA- Budget HL'!D55+'1.0 TCA- Budget HL'!D56+'1.0 TCA- Budget HL'!D57</f>
        <v>839721.9360000001</v>
      </c>
      <c r="E13" s="101">
        <f>D13-B13</f>
        <v>-104928.95399999956</v>
      </c>
      <c r="F13" s="101">
        <f>'FY2025'!K29+'FY2025'!K43+'FY2025'!K56+'FY2025'!K68+'FY2025'!K85</f>
        <v>1894999.6</v>
      </c>
    </row>
    <row r="14" spans="1:8" ht="13.15" x14ac:dyDescent="0.4">
      <c r="A14" s="102" t="s">
        <v>190</v>
      </c>
      <c r="B14" s="99">
        <f>SUM(B12:B13)</f>
        <v>2780691.7299999995</v>
      </c>
      <c r="C14" s="99">
        <f>SUM(C12:C13)</f>
        <v>3996150</v>
      </c>
      <c r="D14" s="99">
        <f>SUM(D12:D13)</f>
        <v>2602971.3840000001</v>
      </c>
      <c r="E14" s="99">
        <f t="shared" ref="E14:F14" si="0">SUM(E12:E13)</f>
        <v>-177720.34599999955</v>
      </c>
      <c r="F14" s="99">
        <f t="shared" si="0"/>
        <v>3956499.6</v>
      </c>
    </row>
    <row r="15" spans="1:8" x14ac:dyDescent="0.35">
      <c r="A15" s="96"/>
      <c r="B15" s="100"/>
      <c r="C15" s="100"/>
      <c r="D15" s="100"/>
      <c r="E15" s="100"/>
      <c r="F15" s="100"/>
    </row>
    <row r="16" spans="1:8" ht="13.15" x14ac:dyDescent="0.4">
      <c r="A16" s="102" t="s">
        <v>191</v>
      </c>
      <c r="B16" s="103">
        <f>B9-B14</f>
        <v>1651194.8900000015</v>
      </c>
      <c r="C16" s="103">
        <f>C9-C14</f>
        <v>132703</v>
      </c>
      <c r="D16" s="103">
        <f>D9-D14</f>
        <v>1828915.236000001</v>
      </c>
      <c r="E16" s="103">
        <f>E9-E14</f>
        <v>177720.34599999955</v>
      </c>
      <c r="F16" s="103">
        <f>F9-F14</f>
        <v>182203.39999999991</v>
      </c>
    </row>
    <row r="17" spans="1:9" ht="15" x14ac:dyDescent="0.4">
      <c r="A17" s="96"/>
      <c r="B17" s="96"/>
      <c r="C17" s="96"/>
      <c r="D17" s="96"/>
      <c r="E17" s="96"/>
      <c r="F17" s="96"/>
      <c r="I17" s="62"/>
    </row>
    <row r="18" spans="1:9" x14ac:dyDescent="0.35">
      <c r="A18" s="96"/>
      <c r="B18" s="96"/>
      <c r="C18" s="96"/>
      <c r="D18" s="96"/>
      <c r="E18" s="96"/>
      <c r="F18" s="96"/>
    </row>
    <row r="19" spans="1:9" x14ac:dyDescent="0.35">
      <c r="A19" s="96"/>
      <c r="B19" s="96"/>
      <c r="C19" s="96"/>
      <c r="D19" s="96"/>
      <c r="E19" s="96"/>
      <c r="F19" s="96"/>
    </row>
    <row r="20" spans="1:9" x14ac:dyDescent="0.35">
      <c r="A20" s="96"/>
      <c r="B20" s="96"/>
      <c r="C20" s="96"/>
      <c r="D20" s="96"/>
      <c r="E20" s="96"/>
      <c r="F20" s="96"/>
    </row>
    <row r="21" spans="1:9" x14ac:dyDescent="0.35">
      <c r="A21" s="96"/>
      <c r="B21" s="96"/>
      <c r="C21" s="96"/>
      <c r="D21" s="96"/>
      <c r="E21" s="96"/>
      <c r="F21" s="96"/>
    </row>
    <row r="22" spans="1:9" x14ac:dyDescent="0.35">
      <c r="A22" s="96"/>
      <c r="B22" s="96"/>
      <c r="C22" s="96"/>
      <c r="D22" s="96"/>
      <c r="E22" s="96"/>
      <c r="F22" s="96"/>
    </row>
    <row r="23" spans="1:9" x14ac:dyDescent="0.35">
      <c r="A23" s="96"/>
      <c r="B23" s="96"/>
      <c r="C23" s="96"/>
      <c r="D23" s="96"/>
      <c r="E23" s="96"/>
      <c r="F23" s="96"/>
    </row>
    <row r="24" spans="1:9" x14ac:dyDescent="0.35">
      <c r="A24" s="96"/>
      <c r="B24" s="96"/>
      <c r="C24" s="96"/>
      <c r="D24" s="96"/>
      <c r="E24" s="96"/>
      <c r="F24" s="96"/>
    </row>
    <row r="25" spans="1:9" x14ac:dyDescent="0.35">
      <c r="A25" s="96"/>
      <c r="B25" s="96"/>
      <c r="C25" s="96"/>
      <c r="D25" s="96"/>
      <c r="E25" s="96"/>
      <c r="F25" s="96"/>
    </row>
    <row r="26" spans="1:9" x14ac:dyDescent="0.35">
      <c r="A26" s="96"/>
      <c r="B26" s="96"/>
      <c r="C26" s="96"/>
      <c r="D26" s="96"/>
      <c r="E26" s="96"/>
      <c r="F26" s="96"/>
    </row>
    <row r="27" spans="1:9" x14ac:dyDescent="0.35">
      <c r="A27" s="96"/>
      <c r="B27" s="96"/>
      <c r="C27" s="96"/>
      <c r="D27" s="96"/>
      <c r="E27" s="96"/>
      <c r="F27" s="96"/>
    </row>
    <row r="28" spans="1:9" x14ac:dyDescent="0.35">
      <c r="A28" s="96"/>
      <c r="B28" s="96"/>
      <c r="C28" s="96"/>
      <c r="D28" s="96"/>
      <c r="E28" s="96"/>
      <c r="F28" s="96"/>
    </row>
    <row r="29" spans="1:9" x14ac:dyDescent="0.35">
      <c r="A29" s="96"/>
      <c r="B29" s="96"/>
      <c r="C29" s="96"/>
      <c r="D29" s="96"/>
      <c r="E29" s="96"/>
      <c r="F29" s="96"/>
    </row>
    <row r="30" spans="1:9" x14ac:dyDescent="0.35">
      <c r="A30" s="96"/>
      <c r="B30" s="96"/>
      <c r="C30" s="96"/>
      <c r="D30" s="96"/>
      <c r="E30" s="96"/>
      <c r="F30" s="96"/>
    </row>
    <row r="31" spans="1:9" x14ac:dyDescent="0.35">
      <c r="A31" s="96"/>
      <c r="B31" s="96"/>
      <c r="C31" s="96"/>
      <c r="D31" s="96"/>
      <c r="E31" s="96"/>
      <c r="F31" s="96"/>
    </row>
    <row r="32" spans="1:9" x14ac:dyDescent="0.35">
      <c r="A32" s="96"/>
      <c r="B32" s="96"/>
      <c r="C32" s="96"/>
      <c r="D32" s="96"/>
      <c r="E32" s="96"/>
      <c r="F32" s="96"/>
    </row>
    <row r="33" spans="1:6" x14ac:dyDescent="0.35">
      <c r="A33" s="96"/>
      <c r="B33" s="96"/>
      <c r="C33" s="96"/>
      <c r="D33" s="96"/>
      <c r="E33" s="96"/>
      <c r="F33" s="96"/>
    </row>
    <row r="34" spans="1:6" x14ac:dyDescent="0.35">
      <c r="A34" s="96"/>
      <c r="B34" s="96"/>
      <c r="C34" s="96"/>
      <c r="D34" s="96"/>
      <c r="E34" s="96"/>
      <c r="F34" s="96"/>
    </row>
    <row r="35" spans="1:6" x14ac:dyDescent="0.35">
      <c r="A35" s="96"/>
      <c r="B35" s="96"/>
      <c r="C35" s="96"/>
      <c r="D35" s="96"/>
      <c r="E35" s="96"/>
      <c r="F35" s="96"/>
    </row>
    <row r="36" spans="1:6" x14ac:dyDescent="0.35">
      <c r="A36" s="96"/>
      <c r="B36" s="96"/>
      <c r="C36" s="96"/>
      <c r="D36" s="96"/>
      <c r="E36" s="96"/>
      <c r="F36" s="96"/>
    </row>
    <row r="37" spans="1:6" x14ac:dyDescent="0.35">
      <c r="A37" s="96"/>
      <c r="B37" s="96"/>
      <c r="C37" s="96"/>
      <c r="D37" s="96"/>
      <c r="E37" s="96"/>
      <c r="F37" s="96"/>
    </row>
    <row r="38" spans="1:6" x14ac:dyDescent="0.35">
      <c r="A38" s="96"/>
      <c r="B38" s="96"/>
      <c r="C38" s="96"/>
      <c r="D38" s="96"/>
      <c r="E38" s="96"/>
      <c r="F38" s="96"/>
    </row>
    <row r="39" spans="1:6" x14ac:dyDescent="0.35">
      <c r="A39" s="96"/>
      <c r="B39" s="96"/>
      <c r="C39" s="96"/>
      <c r="D39" s="96"/>
      <c r="E39" s="96"/>
      <c r="F39" s="96"/>
    </row>
    <row r="40" spans="1:6" x14ac:dyDescent="0.35">
      <c r="A40" s="96"/>
      <c r="B40" s="96"/>
      <c r="C40" s="96"/>
      <c r="D40" s="96"/>
      <c r="E40" s="96"/>
      <c r="F40" s="96"/>
    </row>
    <row r="41" spans="1:6" x14ac:dyDescent="0.35">
      <c r="A41" s="96"/>
      <c r="B41" s="96"/>
      <c r="C41" s="96"/>
      <c r="D41" s="96"/>
      <c r="E41" s="96"/>
      <c r="F41" s="96"/>
    </row>
    <row r="42" spans="1:6" x14ac:dyDescent="0.35">
      <c r="A42" s="96"/>
      <c r="B42" s="96"/>
      <c r="C42" s="96"/>
      <c r="D42" s="96"/>
      <c r="E42" s="96"/>
      <c r="F42" s="96"/>
    </row>
    <row r="43" spans="1:6" x14ac:dyDescent="0.35">
      <c r="A43" s="96"/>
      <c r="B43" s="96"/>
      <c r="C43" s="96"/>
      <c r="D43" s="96"/>
      <c r="E43" s="96"/>
      <c r="F43" s="96"/>
    </row>
    <row r="44" spans="1:6" x14ac:dyDescent="0.35">
      <c r="A44" s="96"/>
      <c r="B44" s="96"/>
      <c r="C44" s="96"/>
      <c r="D44" s="96"/>
      <c r="E44" s="96"/>
      <c r="F44" s="96"/>
    </row>
  </sheetData>
  <mergeCells count="1">
    <mergeCell ref="A5:A6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1644BF29288BA49A5746FE573D0BF52" ma:contentTypeVersion="8" ma:contentTypeDescription="Create a new document." ma:contentTypeScope="" ma:versionID="0ea2709d8f4a619bef85973bde53a5ed">
  <xsd:schema xmlns:xsd="http://www.w3.org/2001/XMLSchema" xmlns:xs="http://www.w3.org/2001/XMLSchema" xmlns:p="http://schemas.microsoft.com/office/2006/metadata/properties" xmlns:ns2="19441871-3e71-4cca-b4c4-06195bc337f6" targetNamespace="http://schemas.microsoft.com/office/2006/metadata/properties" ma:root="true" ma:fieldsID="985728afb6fe04a50c70de78af846f33" ns2:_="">
    <xsd:import namespace="19441871-3e71-4cca-b4c4-06195bc337f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441871-3e71-4cca-b4c4-06195bc337f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87A4E4E-A968-42F1-8200-667B7940D575}"/>
</file>

<file path=customXml/itemProps2.xml><?xml version="1.0" encoding="utf-8"?>
<ds:datastoreItem xmlns:ds="http://schemas.openxmlformats.org/officeDocument/2006/customXml" ds:itemID="{28624DF9-5034-4216-B5E2-90060CFF6764}"/>
</file>

<file path=customXml/itemProps3.xml><?xml version="1.0" encoding="utf-8"?>
<ds:datastoreItem xmlns:ds="http://schemas.openxmlformats.org/officeDocument/2006/customXml" ds:itemID="{1592E8A7-92C6-4F99-B0F5-E2DC75529F2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Content Appendix </vt:lpstr>
      <vt:lpstr>FY2025</vt:lpstr>
      <vt:lpstr>1.0 TCA- Budget HL</vt:lpstr>
      <vt:lpstr>1.1 Budget Projections</vt:lpstr>
      <vt:lpstr>2.0 Budget Report - Detail</vt:lpstr>
      <vt:lpstr>1.2 County Report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Dean Shillingford</dc:creator>
  <cp:keywords/>
  <dc:description/>
  <cp:lastModifiedBy>Dean Shillingford</cp:lastModifiedBy>
  <cp:revision/>
  <dcterms:created xsi:type="dcterms:W3CDTF">2023-08-24T14:36:54Z</dcterms:created>
  <dcterms:modified xsi:type="dcterms:W3CDTF">2024-07-13T18:36:13Z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0x01010061644BF29288BA49A5746FE573D0BF52</vt:lpwstr>
  </property>
</Properties>
</file>